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w.langdon\Downloads\"/>
    </mc:Choice>
  </mc:AlternateContent>
  <xr:revisionPtr revIDLastSave="0" documentId="13_ncr:1_{32C642F5-F0B5-4D8D-98AD-DB2E8D187337}" xr6:coauthVersionLast="47" xr6:coauthVersionMax="47" xr10:uidLastSave="{00000000-0000-0000-0000-000000000000}"/>
  <workbookProtection workbookAlgorithmName="SHA-512" workbookHashValue="dYi6TNxiSfpghe9sEz31mqpfbcNwrMx1xJFwBlwCj6sDvE2pWOCXPNrdKB2cpvrXWM0Bg/Oc/xaSYD1HXPxpkA==" workbookSaltValue="RrRtGZw62DaFrCtYgM0Dhw==" workbookSpinCount="100000" lockStructure="1"/>
  <bookViews>
    <workbookView xWindow="-38520" yWindow="795" windowWidth="19440" windowHeight="14880" xr2:uid="{61B1BC58-7284-42C3-B941-3085A7F34C17}"/>
  </bookViews>
  <sheets>
    <sheet name="Sheet1" sheetId="1" r:id="rId1"/>
    <sheet name="Sheet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1" l="1"/>
  <c r="D7" i="1"/>
  <c r="AQ6" i="1"/>
  <c r="AQ8" i="1" l="1"/>
  <c r="B83" i="1"/>
  <c r="B84" i="1" s="1"/>
  <c r="B102" i="1" l="1"/>
  <c r="B105" i="1" s="1"/>
  <c r="D102" i="1" l="1"/>
  <c r="D105" i="1" s="1"/>
  <c r="D106" i="1" s="1"/>
  <c r="F102" i="1"/>
  <c r="F105" i="1" s="1"/>
  <c r="F106" i="1" s="1"/>
  <c r="D18" i="1"/>
  <c r="F92" i="1"/>
  <c r="D92" i="1"/>
  <c r="F93" i="1"/>
  <c r="D93" i="1"/>
  <c r="B93" i="1"/>
  <c r="F83" i="1"/>
  <c r="D83" i="1"/>
  <c r="F82" i="1"/>
  <c r="D82" i="1"/>
  <c r="F39" i="1"/>
  <c r="D39" i="1"/>
  <c r="F56" i="1"/>
  <c r="D56" i="1"/>
  <c r="B41" i="1"/>
  <c r="F41" i="1" s="1"/>
  <c r="F45" i="1"/>
  <c r="D45" i="1"/>
  <c r="D48" i="1" s="1"/>
  <c r="D53" i="1" s="1"/>
  <c r="B45" i="1"/>
  <c r="F42" i="1"/>
  <c r="D42" i="1"/>
  <c r="B42" i="1"/>
  <c r="D28" i="1"/>
  <c r="F18" i="1"/>
  <c r="F19" i="1"/>
  <c r="F8" i="1"/>
  <c r="F7" i="1"/>
  <c r="D8" i="1"/>
  <c r="B10" i="1"/>
  <c r="D50" i="1" l="1"/>
  <c r="D55" i="1" s="1"/>
  <c r="D84" i="1"/>
  <c r="D85" i="1" s="1"/>
  <c r="F84" i="1"/>
  <c r="F85" i="1" s="1"/>
  <c r="B95" i="1"/>
  <c r="D96" i="1" s="1"/>
  <c r="D47" i="1"/>
  <c r="D52" i="1" s="1"/>
  <c r="D58" i="1" s="1"/>
  <c r="D46" i="1"/>
  <c r="D51" i="1" s="1"/>
  <c r="D57" i="1" s="1"/>
  <c r="D69" i="1" s="1"/>
  <c r="B49" i="1"/>
  <c r="B54" i="1" s="1"/>
  <c r="B60" i="1" s="1"/>
  <c r="B72" i="1" s="1"/>
  <c r="B46" i="1"/>
  <c r="B51" i="1" s="1"/>
  <c r="B57" i="1" s="1"/>
  <c r="B69" i="1" s="1"/>
  <c r="D41" i="1"/>
  <c r="F50" i="1"/>
  <c r="F55" i="1" s="1"/>
  <c r="F61" i="1" s="1"/>
  <c r="F73" i="1" s="1"/>
  <c r="F46" i="1"/>
  <c r="F51" i="1" s="1"/>
  <c r="F57" i="1" s="1"/>
  <c r="F69" i="1" s="1"/>
  <c r="F49" i="1"/>
  <c r="F54" i="1" s="1"/>
  <c r="F60" i="1" s="1"/>
  <c r="F72" i="1" s="1"/>
  <c r="F48" i="1"/>
  <c r="F53" i="1" s="1"/>
  <c r="F59" i="1" s="1"/>
  <c r="F71" i="1" s="1"/>
  <c r="F47" i="1"/>
  <c r="F52" i="1" s="1"/>
  <c r="F58" i="1" s="1"/>
  <c r="B50" i="1"/>
  <c r="B55" i="1" s="1"/>
  <c r="B61" i="1" s="1"/>
  <c r="B73" i="1" s="1"/>
  <c r="B47" i="1"/>
  <c r="B52" i="1" s="1"/>
  <c r="B58" i="1" s="1"/>
  <c r="B70" i="1" s="1"/>
  <c r="B48" i="1"/>
  <c r="B53" i="1" s="1"/>
  <c r="B59" i="1" s="1"/>
  <c r="B71" i="1" s="1"/>
  <c r="F10" i="1"/>
  <c r="F11" i="1" s="1"/>
  <c r="D59" i="1"/>
  <c r="D71" i="1" s="1"/>
  <c r="D49" i="1"/>
  <c r="D54" i="1" s="1"/>
  <c r="D60" i="1" s="1"/>
  <c r="D72" i="1" s="1"/>
  <c r="F31" i="1"/>
  <c r="D61" i="1"/>
  <c r="D73" i="1" s="1"/>
  <c r="D10" i="1"/>
  <c r="D11" i="1" s="1"/>
  <c r="D19" i="1"/>
  <c r="B31" i="1"/>
  <c r="F96" i="1" l="1"/>
  <c r="B62" i="1"/>
  <c r="B74" i="1"/>
  <c r="F62" i="1"/>
  <c r="F70" i="1"/>
  <c r="F74" i="1" s="1"/>
  <c r="D62" i="1"/>
  <c r="D70" i="1"/>
  <c r="D74" i="1" s="1"/>
  <c r="F32" i="1"/>
  <c r="D30" i="1"/>
  <c r="D29" i="1"/>
  <c r="D63" i="1" l="1"/>
  <c r="F75" i="1"/>
  <c r="F63" i="1"/>
  <c r="D75" i="1"/>
  <c r="D31" i="1"/>
  <c r="D32" i="1" s="1"/>
</calcChain>
</file>

<file path=xl/sharedStrings.xml><?xml version="1.0" encoding="utf-8"?>
<sst xmlns="http://schemas.openxmlformats.org/spreadsheetml/2006/main" count="188" uniqueCount="101">
  <si>
    <t>HIDDEN</t>
  </si>
  <si>
    <t>Income tax</t>
  </si>
  <si>
    <t>Class 1A NIC</t>
  </si>
  <si>
    <t>Free fuel</t>
  </si>
  <si>
    <t>Congestion charge</t>
  </si>
  <si>
    <t>Ultra low charge</t>
  </si>
  <si>
    <t>Euro standard</t>
  </si>
  <si>
    <t>Petrol</t>
  </si>
  <si>
    <t>Yes</t>
  </si>
  <si>
    <t>2023/24</t>
  </si>
  <si>
    <t>2024/25</t>
  </si>
  <si>
    <t>2025/26</t>
  </si>
  <si>
    <t>2026/27</t>
  </si>
  <si>
    <t>2027/28</t>
  </si>
  <si>
    <t>Range</t>
  </si>
  <si>
    <t>for EV charging pricing</t>
  </si>
  <si>
    <t>https://www.gridserve.com/our-pricing/</t>
  </si>
  <si>
    <r>
      <t>CO</t>
    </r>
    <r>
      <rPr>
        <b/>
        <vertAlign val="subscript"/>
        <sz val="11"/>
        <color theme="0"/>
        <rFont val="Calibri"/>
        <family val="2"/>
        <scheme val="minor"/>
      </rPr>
      <t>2</t>
    </r>
    <r>
      <rPr>
        <b/>
        <sz val="11"/>
        <color theme="0"/>
        <rFont val="Calibri"/>
        <family val="2"/>
        <scheme val="minor"/>
      </rPr>
      <t xml:space="preserve"> emissions savings</t>
    </r>
  </si>
  <si>
    <t>Diesel</t>
  </si>
  <si>
    <t>No</t>
  </si>
  <si>
    <t>CO2</t>
  </si>
  <si>
    <t>Non-diesel</t>
  </si>
  <si>
    <t>For fuel prices</t>
  </si>
  <si>
    <t>https://www.allstarcard.co.uk/tools/uk-fuel-prices/</t>
  </si>
  <si>
    <r>
      <t>To calculate the CO</t>
    </r>
    <r>
      <rPr>
        <vertAlign val="subscript"/>
        <sz val="11"/>
        <color theme="1"/>
        <rFont val="Calibri"/>
        <family val="2"/>
        <scheme val="minor"/>
      </rPr>
      <t>2</t>
    </r>
    <r>
      <rPr>
        <sz val="11"/>
        <color theme="1"/>
        <rFont val="Calibri"/>
        <family val="2"/>
        <scheme val="minor"/>
      </rPr>
      <t xml:space="preserve"> emissions savings for each vehicle replaced by an EV or plug-in hybrid EV, enter the relevant information in the cells with red text. You can find the CO</t>
    </r>
    <r>
      <rPr>
        <vertAlign val="subscript"/>
        <sz val="11"/>
        <color theme="1"/>
        <rFont val="Calibri"/>
        <family val="2"/>
        <scheme val="minor"/>
      </rPr>
      <t>2</t>
    </r>
    <r>
      <rPr>
        <sz val="11"/>
        <color theme="1"/>
        <rFont val="Calibri"/>
        <family val="2"/>
        <scheme val="minor"/>
      </rPr>
      <t xml:space="preserve"> figures in the vehicle manufacturer's publications or on their website.</t>
    </r>
  </si>
  <si>
    <t>Electric</t>
  </si>
  <si>
    <t>Petrol/electric</t>
  </si>
  <si>
    <t>1-50</t>
  </si>
  <si>
    <t>Dates for CCZ calculation</t>
  </si>
  <si>
    <t>Current vehicle</t>
  </si>
  <si>
    <t>EV replacement</t>
  </si>
  <si>
    <t>PHEV replacement</t>
  </si>
  <si>
    <t>Diesel/electric</t>
  </si>
  <si>
    <t>Today</t>
  </si>
  <si>
    <t>Annual mileage (business + private)</t>
  </si>
  <si>
    <t>Last date eligible</t>
  </si>
  <si>
    <t>Term (years)</t>
  </si>
  <si>
    <t>Days over deadline</t>
  </si>
  <si>
    <r>
      <t>CO</t>
    </r>
    <r>
      <rPr>
        <vertAlign val="subscript"/>
        <sz val="11"/>
        <color theme="1"/>
        <rFont val="Calibri"/>
        <family val="2"/>
        <scheme val="minor"/>
      </rPr>
      <t>2</t>
    </r>
    <r>
      <rPr>
        <sz val="11"/>
        <color theme="1"/>
        <rFont val="Calibri"/>
        <family val="2"/>
        <scheme val="minor"/>
      </rPr>
      <t xml:space="preserve"> (g/km)</t>
    </r>
  </si>
  <si>
    <r>
      <t>Total CO</t>
    </r>
    <r>
      <rPr>
        <vertAlign val="subscript"/>
        <sz val="11"/>
        <color theme="1"/>
        <rFont val="Calibri"/>
        <family val="2"/>
        <scheme val="minor"/>
      </rPr>
      <t>2</t>
    </r>
    <r>
      <rPr>
        <sz val="11"/>
        <color theme="1"/>
        <rFont val="Calibri"/>
        <family val="2"/>
        <scheme val="minor"/>
      </rPr>
      <t xml:space="preserve"> emissions (kg)</t>
    </r>
  </si>
  <si>
    <r>
      <t>CO</t>
    </r>
    <r>
      <rPr>
        <vertAlign val="subscript"/>
        <sz val="11"/>
        <color theme="1"/>
        <rFont val="Calibri"/>
        <family val="2"/>
        <scheme val="minor"/>
      </rPr>
      <t>2</t>
    </r>
    <r>
      <rPr>
        <sz val="11"/>
        <color theme="1"/>
        <rFont val="Calibri"/>
        <family val="2"/>
        <scheme val="minor"/>
      </rPr>
      <t xml:space="preserve"> saving (kg)</t>
    </r>
  </si>
  <si>
    <t>Fuel savings</t>
  </si>
  <si>
    <t>To calculate the fuel savings for each vehicle replaced by an EV or plug-in hybrid EV, enter the relevant information in the cells with red text. You can find the vehicle data in the manufacturer's publications or on their website. The per kWh cost of electricity should be shown on your utilities bill. If you only pay for business fuel enter annual business mileage, otherwise enter total annual mileage as above.</t>
  </si>
  <si>
    <t>Annual mileage</t>
  </si>
  <si>
    <t>Fuel type</t>
  </si>
  <si>
    <t>Average fuel economy</t>
  </si>
  <si>
    <t>-</t>
  </si>
  <si>
    <t>Pence per litre</t>
  </si>
  <si>
    <t>Battery capacity (kWh)</t>
  </si>
  <si>
    <t>Battery range (miles)</t>
  </si>
  <si>
    <t>Pence per kWh (private)</t>
  </si>
  <si>
    <t>Pence per kWh (public)</t>
  </si>
  <si>
    <t>% private charging</t>
  </si>
  <si>
    <t>% public charging</t>
  </si>
  <si>
    <t>Private charge cost</t>
  </si>
  <si>
    <t>Public charge cost</t>
  </si>
  <si>
    <t>Total fuel cost</t>
  </si>
  <si>
    <t>Fuel saving</t>
  </si>
  <si>
    <t>Benefit-in-Kind savings</t>
  </si>
  <si>
    <t>To calculate the Benefit-in-Kind savings for each vehicle replaced by an EV or plug-in hybrid EV, enter the relevant information in the cells with red text. Many manufacturers publish their vehicles' P11D prices but you can calculate it yourself. Subtract first year Vehicle Excise Duty and new vehicle first registration fee from the vehicle's published on-the-road price and add on the full list price of any options fitted. For ultra-low emissions vehicles you shouldn't subtract the value of any plug-in grant received. Figures for range in zero-emissions mode should be available in the vehicle manufacturer's publications or on their website. You can choose the income tax band that reflects the majority of your company car drivers.</t>
  </si>
  <si>
    <t>Do you provide free fuel for private use?</t>
  </si>
  <si>
    <t>P11D value</t>
  </si>
  <si>
    <t>If diesel, RDE2-compliant?</t>
  </si>
  <si>
    <t>If EV or PHEV, zero-emissions range</t>
  </si>
  <si>
    <t>Tax band 2023/24</t>
  </si>
  <si>
    <t>Tax band 2024/25</t>
  </si>
  <si>
    <t>Tax band 2025/26</t>
  </si>
  <si>
    <t>Tax band 2026/27</t>
  </si>
  <si>
    <t>Tax band 2027/28</t>
  </si>
  <si>
    <t>Taxable benefit 2023/24</t>
  </si>
  <si>
    <t>Taxable benefit 2024/25</t>
  </si>
  <si>
    <t>Taxable benefit 2025/26</t>
  </si>
  <si>
    <t>Taxable benefit 2026/27</t>
  </si>
  <si>
    <t>Taxable benefit 2027/28</t>
  </si>
  <si>
    <t>Income tax band</t>
  </si>
  <si>
    <t>Benefit-in-Kind tax 2023/24</t>
  </si>
  <si>
    <t>Benefit-in-Kind tax 2024/25</t>
  </si>
  <si>
    <t>Benefit-in-Kind tax 2025/26</t>
  </si>
  <si>
    <t>Benefit-in-Kind tax 2026/27</t>
  </si>
  <si>
    <t>Benefit-in-Kind tax 2027/28</t>
  </si>
  <si>
    <t>Total Benefit-in-Kind tax</t>
  </si>
  <si>
    <t>Tax saving</t>
  </si>
  <si>
    <t>Class 1A National Insurance savings</t>
  </si>
  <si>
    <t>Class 1A National Insurance tax 2023/24</t>
  </si>
  <si>
    <t>Class 1A National Insurance tax 2024/25</t>
  </si>
  <si>
    <t>Class 1A National Insurance tax 2025/26</t>
  </si>
  <si>
    <t>Class 1A National Insurance tax 2026/27</t>
  </si>
  <si>
    <t>Class 1A National Insurance tax 2027/28</t>
  </si>
  <si>
    <t>Total Class 1A National Insurance tax</t>
  </si>
  <si>
    <t>London Congestion Charge Zone savings</t>
  </si>
  <si>
    <t xml:space="preserve">To calculate the savings for each vehicle replaced by an EV or plug-in hybrid EV, enter the relevant information in the cells with red text. </t>
  </si>
  <si>
    <t>Number of annual visits to the zone</t>
  </si>
  <si>
    <t>Charges over term</t>
  </si>
  <si>
    <t>Total saving</t>
  </si>
  <si>
    <t>London Ultra Low Emission Zone savings</t>
  </si>
  <si>
    <t>To calculate the savings for each vehicle replaced by an EV or plug-in hybrid EV, enter the relevant information in the cells with red text. All new vehicles on sale today are exempt from charges to enter the Ultra Low Emission Zone.</t>
  </si>
  <si>
    <t>Euro emissions standard</t>
  </si>
  <si>
    <t>Lease costs</t>
  </si>
  <si>
    <t>Number of advance payments</t>
  </si>
  <si>
    <t>Monthly rate (£)</t>
  </si>
  <si>
    <t>Total lease 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</si>
</sst>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1"/>
      <color theme="0"/>
      <name val="Calibri"/>
      <family val="2"/>
      <scheme val="minor"/>
    </font>
    <font>
      <vertAlign val="subscript"/>
      <sz val="11"/>
      <color theme="1"/>
      <name val="Calibri"/>
      <family val="2"/>
      <scheme val="minor"/>
    </font>
    <font>
      <b/>
      <vertAlign val="subscript"/>
      <sz val="11"/>
      <color theme="0"/>
      <name val="Calibri"/>
      <family val="2"/>
      <scheme val="minor"/>
    </font>
    <font>
      <sz val="8"/>
      <name val="Calibri"/>
      <family val="2"/>
      <scheme val="minor"/>
    </font>
  </fonts>
  <fills count="6">
    <fill>
      <patternFill patternType="none"/>
    </fill>
    <fill>
      <patternFill patternType="gray125"/>
    </fill>
    <fill>
      <patternFill patternType="solid">
        <fgColor rgb="FF004666"/>
        <bgColor indexed="64"/>
      </patternFill>
    </fill>
    <fill>
      <patternFill patternType="solid">
        <fgColor rgb="FFDDDDDD"/>
        <bgColor indexed="64"/>
      </patternFill>
    </fill>
    <fill>
      <patternFill patternType="solid">
        <fgColor rgb="FFC00000"/>
        <bgColor indexed="64"/>
      </patternFill>
    </fill>
    <fill>
      <patternFill patternType="solid">
        <fgColor theme="0" tint="-0.249977111117893"/>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xf numFmtId="9" fontId="1" fillId="0" borderId="0" applyFont="0" applyFill="0" applyBorder="0" applyAlignment="0" applyProtection="0"/>
  </cellStyleXfs>
  <cellXfs count="51">
    <xf numFmtId="0" fontId="0" fillId="0" borderId="0" xfId="0"/>
    <xf numFmtId="0" fontId="4" fillId="0" borderId="0" xfId="0" applyFont="1" applyProtection="1">
      <protection locked="0" hidden="1"/>
    </xf>
    <xf numFmtId="0" fontId="4" fillId="0" borderId="0" xfId="0" applyFont="1" applyAlignment="1" applyProtection="1">
      <alignment horizontal="right"/>
      <protection locked="0" hidden="1"/>
    </xf>
    <xf numFmtId="9" fontId="4" fillId="0" borderId="0" xfId="1" applyFont="1" applyProtection="1">
      <protection locked="0" hidden="1"/>
    </xf>
    <xf numFmtId="0" fontId="4" fillId="0" borderId="0" xfId="0" applyFont="1" applyProtection="1">
      <protection hidden="1"/>
    </xf>
    <xf numFmtId="0" fontId="0" fillId="0" borderId="0" xfId="0" applyProtection="1">
      <protection hidden="1"/>
    </xf>
    <xf numFmtId="0" fontId="3" fillId="0" borderId="1" xfId="0" applyFont="1" applyBorder="1" applyProtection="1">
      <protection hidden="1"/>
    </xf>
    <xf numFmtId="0" fontId="0" fillId="0" borderId="1" xfId="0" applyBorder="1" applyProtection="1">
      <protection hidden="1"/>
    </xf>
    <xf numFmtId="0" fontId="0" fillId="0" borderId="2" xfId="0" applyBorder="1" applyProtection="1">
      <protection hidden="1"/>
    </xf>
    <xf numFmtId="9" fontId="0" fillId="0" borderId="0" xfId="1" applyFont="1" applyProtection="1">
      <protection hidden="1"/>
    </xf>
    <xf numFmtId="0" fontId="2" fillId="0" borderId="0" xfId="0" applyFont="1" applyProtection="1">
      <protection hidden="1"/>
    </xf>
    <xf numFmtId="0" fontId="3" fillId="0" borderId="4" xfId="0" applyFont="1" applyBorder="1" applyProtection="1">
      <protection hidden="1"/>
    </xf>
    <xf numFmtId="0" fontId="3" fillId="0" borderId="5" xfId="0" applyFont="1" applyBorder="1" applyProtection="1">
      <protection hidden="1"/>
    </xf>
    <xf numFmtId="0" fontId="0" fillId="0" borderId="4" xfId="0" applyBorder="1" applyProtection="1">
      <protection hidden="1"/>
    </xf>
    <xf numFmtId="0" fontId="0" fillId="0" borderId="5" xfId="0" applyBorder="1" applyProtection="1">
      <protection hidden="1"/>
    </xf>
    <xf numFmtId="0" fontId="0" fillId="0" borderId="0" xfId="1" applyNumberFormat="1" applyFont="1" applyProtection="1">
      <protection hidden="1"/>
    </xf>
    <xf numFmtId="9" fontId="3" fillId="0" borderId="4" xfId="1" applyFont="1" applyBorder="1" applyProtection="1">
      <protection hidden="1"/>
    </xf>
    <xf numFmtId="9" fontId="3" fillId="0" borderId="5" xfId="1" applyFont="1" applyBorder="1" applyProtection="1">
      <protection hidden="1"/>
    </xf>
    <xf numFmtId="9" fontId="0" fillId="0" borderId="4" xfId="1" applyFont="1" applyBorder="1" applyProtection="1">
      <protection hidden="1"/>
    </xf>
    <xf numFmtId="9" fontId="0" fillId="0" borderId="5" xfId="1" applyFont="1" applyBorder="1" applyProtection="1">
      <protection hidden="1"/>
    </xf>
    <xf numFmtId="17" fontId="0" fillId="0" borderId="4" xfId="0" quotePrefix="1" applyNumberFormat="1" applyBorder="1" applyAlignment="1" applyProtection="1">
      <alignment horizontal="right"/>
      <protection hidden="1"/>
    </xf>
    <xf numFmtId="0" fontId="0" fillId="0" borderId="8" xfId="0" applyBorder="1" applyAlignment="1" applyProtection="1">
      <alignment horizontal="right"/>
      <protection hidden="1"/>
    </xf>
    <xf numFmtId="9" fontId="0" fillId="0" borderId="4" xfId="0" applyNumberFormat="1" applyBorder="1" applyProtection="1">
      <protection hidden="1"/>
    </xf>
    <xf numFmtId="9" fontId="0" fillId="0" borderId="5" xfId="0" applyNumberFormat="1" applyBorder="1" applyProtection="1">
      <protection hidden="1"/>
    </xf>
    <xf numFmtId="0" fontId="0" fillId="0" borderId="9" xfId="0" applyBorder="1" applyAlignment="1" applyProtection="1">
      <alignment horizontal="right"/>
      <protection hidden="1"/>
    </xf>
    <xf numFmtId="0" fontId="0" fillId="0" borderId="10" xfId="0" applyBorder="1" applyProtection="1">
      <protection hidden="1"/>
    </xf>
    <xf numFmtId="9" fontId="0" fillId="0" borderId="6" xfId="0" applyNumberFormat="1" applyBorder="1" applyProtection="1">
      <protection hidden="1"/>
    </xf>
    <xf numFmtId="9" fontId="0" fillId="0" borderId="7" xfId="0" applyNumberFormat="1" applyBorder="1" applyProtection="1">
      <protection hidden="1"/>
    </xf>
    <xf numFmtId="164" fontId="0" fillId="0" borderId="0" xfId="0" applyNumberFormat="1" applyProtection="1">
      <protection hidden="1"/>
    </xf>
    <xf numFmtId="0" fontId="0" fillId="0" borderId="0" xfId="0" applyAlignment="1" applyProtection="1">
      <alignment horizontal="right"/>
      <protection hidden="1"/>
    </xf>
    <xf numFmtId="0" fontId="3" fillId="0" borderId="6" xfId="0" applyFont="1" applyBorder="1" applyProtection="1">
      <protection hidden="1"/>
    </xf>
    <xf numFmtId="9" fontId="3" fillId="0" borderId="6" xfId="1" applyFont="1" applyBorder="1" applyProtection="1">
      <protection hidden="1"/>
    </xf>
    <xf numFmtId="9" fontId="3" fillId="0" borderId="7" xfId="1" applyFont="1" applyBorder="1" applyProtection="1">
      <protection hidden="1"/>
    </xf>
    <xf numFmtId="1" fontId="0" fillId="0" borderId="0" xfId="0" applyNumberFormat="1" applyProtection="1">
      <protection hidden="1"/>
    </xf>
    <xf numFmtId="0" fontId="3" fillId="0" borderId="0" xfId="0" applyFont="1" applyAlignment="1" applyProtection="1">
      <alignment horizontal="right"/>
      <protection hidden="1"/>
    </xf>
    <xf numFmtId="9" fontId="3" fillId="0" borderId="0" xfId="1" applyFont="1" applyProtection="1">
      <protection hidden="1"/>
    </xf>
    <xf numFmtId="0" fontId="0" fillId="0" borderId="0" xfId="0" applyAlignment="1" applyProtection="1">
      <alignment horizontal="left" wrapText="1"/>
      <protection hidden="1"/>
    </xf>
    <xf numFmtId="0" fontId="3" fillId="0" borderId="0" xfId="0" applyFont="1" applyProtection="1">
      <protection hidden="1"/>
    </xf>
    <xf numFmtId="0" fontId="0" fillId="4" borderId="0" xfId="0" applyFill="1" applyProtection="1">
      <protection hidden="1"/>
    </xf>
    <xf numFmtId="14" fontId="0" fillId="0" borderId="0" xfId="0" applyNumberFormat="1" applyProtection="1">
      <protection hidden="1"/>
    </xf>
    <xf numFmtId="10" fontId="0" fillId="0" borderId="0" xfId="1" applyNumberFormat="1" applyFont="1" applyProtection="1">
      <protection hidden="1"/>
    </xf>
    <xf numFmtId="0" fontId="3" fillId="0" borderId="3" xfId="0" applyFont="1" applyBorder="1" applyAlignment="1" applyProtection="1">
      <alignment horizontal="center"/>
      <protection hidden="1"/>
    </xf>
    <xf numFmtId="9" fontId="3" fillId="5" borderId="4" xfId="1" applyFont="1" applyFill="1" applyBorder="1" applyProtection="1">
      <protection hidden="1"/>
    </xf>
    <xf numFmtId="9" fontId="3" fillId="5" borderId="5" xfId="1" applyFont="1" applyFill="1" applyBorder="1" applyProtection="1">
      <protection hidden="1"/>
    </xf>
    <xf numFmtId="9" fontId="3" fillId="5" borderId="6" xfId="1" applyFont="1" applyFill="1" applyBorder="1" applyProtection="1">
      <protection hidden="1"/>
    </xf>
    <xf numFmtId="9" fontId="3" fillId="5" borderId="7" xfId="1" applyFont="1" applyFill="1" applyBorder="1" applyProtection="1">
      <protection hidden="1"/>
    </xf>
    <xf numFmtId="0" fontId="3" fillId="0" borderId="2"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5" fillId="2" borderId="0" xfId="0" applyFont="1" applyFill="1" applyAlignment="1" applyProtection="1">
      <alignment horizontal="left"/>
      <protection hidden="1"/>
    </xf>
    <xf numFmtId="0" fontId="0" fillId="3" borderId="0" xfId="0" applyFill="1" applyAlignment="1" applyProtection="1">
      <alignment horizontal="left" wrapText="1"/>
      <protection hidden="1"/>
    </xf>
  </cellXfs>
  <cellStyles count="2">
    <cellStyle name="Normal" xfId="0" builtinId="0"/>
    <cellStyle name="Percent" xfId="1" builtinId="5"/>
  </cellStyles>
  <dxfs count="0"/>
  <tableStyles count="0" defaultTableStyle="TableStyleMedium2" defaultPivotStyle="PivotStyleLight16"/>
  <colors>
    <mruColors>
      <color rgb="FFDDDDDD"/>
      <color rgb="FF004666"/>
      <color rgb="FFC6D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15876</xdr:colOff>
      <xdr:row>1</xdr:row>
      <xdr:rowOff>926004</xdr:rowOff>
    </xdr:to>
    <xdr:pic>
      <xdr:nvPicPr>
        <xdr:cNvPr id="3" name="Picture 2">
          <a:extLst>
            <a:ext uri="{FF2B5EF4-FFF2-40B4-BE49-F238E27FC236}">
              <a16:creationId xmlns:a16="http://schemas.microsoft.com/office/drawing/2014/main" id="{51FCC7B0-112E-4F53-BCDF-72EE60F274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6096000" cy="11006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FAB25-C476-4C58-BFAF-F8A84C953511}">
  <dimension ref="A1:BO106"/>
  <sheetViews>
    <sheetView tabSelected="1" zoomScaleNormal="100" workbookViewId="0">
      <selection activeCell="D10" sqref="D10"/>
    </sheetView>
  </sheetViews>
  <sheetFormatPr defaultColWidth="8.7265625" defaultRowHeight="14.5" x14ac:dyDescent="0.35"/>
  <cols>
    <col min="1" max="1" width="34.81640625" style="5" customWidth="1"/>
    <col min="2" max="12" width="8.7265625" style="5"/>
    <col min="13" max="13" width="13.26953125" style="5" hidden="1" customWidth="1"/>
    <col min="14" max="14" width="14.1796875" style="5" hidden="1" customWidth="1"/>
    <col min="15" max="15" width="3.81640625" style="5" hidden="1" customWidth="1"/>
    <col min="16" max="16" width="4.453125" style="5" hidden="1" customWidth="1"/>
    <col min="17" max="17" width="10.453125" style="5" hidden="1" customWidth="1"/>
    <col min="18" max="18" width="6.26953125" style="5" hidden="1" customWidth="1"/>
    <col min="19" max="19" width="10.453125" style="5" hidden="1" customWidth="1"/>
    <col min="20" max="20" width="6.26953125" style="5" hidden="1" customWidth="1"/>
    <col min="21" max="21" width="10.453125" style="5" hidden="1" customWidth="1"/>
    <col min="22" max="22" width="6.26953125" style="5" hidden="1" customWidth="1"/>
    <col min="23" max="23" width="10.453125" style="5" hidden="1" customWidth="1"/>
    <col min="24" max="24" width="6.26953125" style="5" hidden="1" customWidth="1"/>
    <col min="25" max="25" width="10.453125" style="5" hidden="1" customWidth="1"/>
    <col min="26" max="26" width="6.26953125" style="5" hidden="1" customWidth="1"/>
    <col min="27" max="27" width="8.7265625" style="5" hidden="1" customWidth="1"/>
    <col min="28" max="28" width="4.453125" style="5" hidden="1" customWidth="1"/>
    <col min="29" max="29" width="6.1796875" style="5" hidden="1" customWidth="1"/>
    <col min="30" max="30" width="10.453125" style="5" hidden="1" customWidth="1"/>
    <col min="31" max="31" width="6.26953125" style="5" hidden="1" customWidth="1"/>
    <col min="32" max="32" width="10.453125" style="5" hidden="1" customWidth="1"/>
    <col min="33" max="33" width="6.26953125" style="5" hidden="1" customWidth="1"/>
    <col min="34" max="34" width="10.453125" style="5" hidden="1" customWidth="1"/>
    <col min="35" max="35" width="6.26953125" style="5" hidden="1" customWidth="1"/>
    <col min="36" max="36" width="10.453125" style="5" hidden="1" customWidth="1"/>
    <col min="37" max="37" width="6.26953125" style="5" hidden="1" customWidth="1"/>
    <col min="38" max="38" width="10.453125" style="5" hidden="1" customWidth="1"/>
    <col min="39" max="39" width="6.26953125" style="5" hidden="1" customWidth="1"/>
    <col min="40" max="40" width="8.7265625" style="5" hidden="1" customWidth="1"/>
    <col min="41" max="41" width="10.1796875" style="5" hidden="1" customWidth="1"/>
    <col min="42" max="42" width="8.7265625" style="5" hidden="1" customWidth="1"/>
    <col min="43" max="43" width="22.1796875" style="5" hidden="1" customWidth="1"/>
    <col min="44" max="44" width="24.453125" style="5" hidden="1" customWidth="1"/>
    <col min="45" max="47" width="7.54296875" style="5" hidden="1" customWidth="1"/>
    <col min="48" max="48" width="8.7265625" style="5" hidden="1" customWidth="1"/>
    <col min="49" max="49" width="8.54296875" style="5" hidden="1" customWidth="1"/>
    <col min="50" max="53" width="7.54296875" style="5" hidden="1" customWidth="1"/>
    <col min="54" max="54" width="8.7265625" style="5" hidden="1" customWidth="1"/>
    <col min="55" max="55" width="16.7265625" style="5" hidden="1" customWidth="1"/>
    <col min="56" max="56" width="8.7265625" style="5" hidden="1" customWidth="1"/>
    <col min="57" max="57" width="14.7265625" style="5" hidden="1" customWidth="1"/>
    <col min="58" max="58" width="8.7265625" style="5" hidden="1" customWidth="1"/>
    <col min="59" max="59" width="12.54296875" style="5" hidden="1" customWidth="1"/>
    <col min="60" max="65" width="8.7265625" style="5" hidden="1" customWidth="1"/>
    <col min="66" max="66" width="0" style="5" hidden="1" customWidth="1"/>
    <col min="67" max="67" width="8.7265625" style="5" hidden="1" customWidth="1"/>
    <col min="68" max="16384" width="8.7265625" style="5"/>
  </cols>
  <sheetData>
    <row r="1" spans="1:62" x14ac:dyDescent="0.35">
      <c r="N1" s="38" t="s">
        <v>0</v>
      </c>
      <c r="AO1" s="5" t="s">
        <v>1</v>
      </c>
      <c r="AQ1" s="5" t="s">
        <v>2</v>
      </c>
      <c r="AW1" s="5" t="s">
        <v>3</v>
      </c>
      <c r="BC1" s="5" t="s">
        <v>4</v>
      </c>
      <c r="BE1" s="5" t="s">
        <v>5</v>
      </c>
      <c r="BG1" s="5" t="s">
        <v>6</v>
      </c>
    </row>
    <row r="2" spans="1:62" ht="101.15" customHeight="1" x14ac:dyDescent="0.35">
      <c r="N2" s="5" t="s">
        <v>7</v>
      </c>
      <c r="O2" s="5" t="s">
        <v>8</v>
      </c>
      <c r="P2" s="6"/>
      <c r="Q2" s="47" t="s">
        <v>9</v>
      </c>
      <c r="R2" s="48"/>
      <c r="S2" s="47" t="s">
        <v>10</v>
      </c>
      <c r="T2" s="48"/>
      <c r="U2" s="47" t="s">
        <v>11</v>
      </c>
      <c r="V2" s="48"/>
      <c r="W2" s="47" t="s">
        <v>12</v>
      </c>
      <c r="X2" s="48"/>
      <c r="Y2" s="47" t="s">
        <v>13</v>
      </c>
      <c r="Z2" s="48"/>
      <c r="AB2" s="7"/>
      <c r="AC2" s="8" t="s">
        <v>14</v>
      </c>
      <c r="AD2" s="46" t="s">
        <v>9</v>
      </c>
      <c r="AE2" s="41"/>
      <c r="AF2" s="46" t="s">
        <v>10</v>
      </c>
      <c r="AG2" s="41"/>
      <c r="AH2" s="47" t="s">
        <v>11</v>
      </c>
      <c r="AI2" s="48"/>
      <c r="AJ2" s="47" t="s">
        <v>12</v>
      </c>
      <c r="AK2" s="48"/>
      <c r="AL2" s="47" t="s">
        <v>13</v>
      </c>
      <c r="AM2" s="48"/>
      <c r="AO2" s="9">
        <v>0.19</v>
      </c>
      <c r="AQ2" s="5" t="s">
        <v>9</v>
      </c>
      <c r="AR2" s="5" t="s">
        <v>10</v>
      </c>
      <c r="AS2" s="5" t="s">
        <v>11</v>
      </c>
      <c r="AT2" s="5" t="s">
        <v>12</v>
      </c>
      <c r="AU2" s="5" t="s">
        <v>13</v>
      </c>
      <c r="AW2" s="5" t="s">
        <v>9</v>
      </c>
      <c r="AX2" s="5" t="s">
        <v>10</v>
      </c>
      <c r="AY2" s="5" t="s">
        <v>11</v>
      </c>
      <c r="AZ2" s="5" t="s">
        <v>12</v>
      </c>
      <c r="BA2" s="5" t="s">
        <v>13</v>
      </c>
      <c r="BC2" s="5">
        <v>15</v>
      </c>
      <c r="BE2" s="5">
        <v>12.5</v>
      </c>
      <c r="BG2" s="5">
        <v>3</v>
      </c>
      <c r="BI2" s="5" t="s">
        <v>15</v>
      </c>
      <c r="BJ2" s="5" t="s">
        <v>16</v>
      </c>
    </row>
    <row r="3" spans="1:62" ht="16.5" x14ac:dyDescent="0.45">
      <c r="A3" s="49" t="s">
        <v>17</v>
      </c>
      <c r="B3" s="49"/>
      <c r="C3" s="49"/>
      <c r="D3" s="49"/>
      <c r="E3" s="49"/>
      <c r="F3" s="49"/>
      <c r="G3" s="49"/>
      <c r="N3" s="5" t="s">
        <v>18</v>
      </c>
      <c r="O3" s="5" t="s">
        <v>19</v>
      </c>
      <c r="P3" s="11" t="s">
        <v>20</v>
      </c>
      <c r="Q3" s="11" t="s">
        <v>21</v>
      </c>
      <c r="R3" s="12" t="s">
        <v>18</v>
      </c>
      <c r="S3" s="11" t="s">
        <v>21</v>
      </c>
      <c r="T3" s="12" t="s">
        <v>18</v>
      </c>
      <c r="U3" s="11" t="s">
        <v>21</v>
      </c>
      <c r="V3" s="12" t="s">
        <v>18</v>
      </c>
      <c r="W3" s="11" t="s">
        <v>21</v>
      </c>
      <c r="X3" s="12" t="s">
        <v>18</v>
      </c>
      <c r="Y3" s="11" t="s">
        <v>21</v>
      </c>
      <c r="Z3" s="12" t="s">
        <v>18</v>
      </c>
      <c r="AB3" s="13" t="s">
        <v>20</v>
      </c>
      <c r="AC3" s="13"/>
      <c r="AD3" s="13" t="s">
        <v>21</v>
      </c>
      <c r="AE3" s="14" t="s">
        <v>18</v>
      </c>
      <c r="AF3" s="13" t="s">
        <v>21</v>
      </c>
      <c r="AG3" s="14" t="s">
        <v>18</v>
      </c>
      <c r="AH3" s="13" t="s">
        <v>21</v>
      </c>
      <c r="AI3" s="14" t="s">
        <v>18</v>
      </c>
      <c r="AJ3" s="13" t="s">
        <v>21</v>
      </c>
      <c r="AK3" s="14" t="s">
        <v>18</v>
      </c>
      <c r="AL3" s="13" t="s">
        <v>21</v>
      </c>
      <c r="AM3" s="14" t="s">
        <v>18</v>
      </c>
      <c r="AO3" s="9">
        <v>0.2</v>
      </c>
      <c r="AQ3" s="40">
        <v>0.13800000000000001</v>
      </c>
      <c r="AR3" s="40">
        <v>0.13800000000000001</v>
      </c>
      <c r="AS3" s="40">
        <v>0.13800000000000001</v>
      </c>
      <c r="AT3" s="40">
        <v>0.13800000000000001</v>
      </c>
      <c r="AU3" s="40">
        <v>0.13800000000000001</v>
      </c>
      <c r="AW3" s="15">
        <v>27800</v>
      </c>
      <c r="AX3" s="15">
        <v>27800</v>
      </c>
      <c r="AY3" s="15">
        <v>27800</v>
      </c>
      <c r="AZ3" s="15">
        <v>27800</v>
      </c>
      <c r="BA3" s="15">
        <v>27800</v>
      </c>
      <c r="BB3" s="15"/>
      <c r="BG3" s="5">
        <v>4</v>
      </c>
      <c r="BI3" s="5" t="s">
        <v>22</v>
      </c>
      <c r="BJ3" s="5" t="s">
        <v>23</v>
      </c>
    </row>
    <row r="4" spans="1:62" ht="50.25" customHeight="1" x14ac:dyDescent="0.35">
      <c r="A4" s="50" t="s">
        <v>24</v>
      </c>
      <c r="B4" s="50"/>
      <c r="C4" s="50"/>
      <c r="D4" s="50"/>
      <c r="E4" s="50"/>
      <c r="F4" s="50"/>
      <c r="G4" s="50"/>
      <c r="N4" s="5" t="s">
        <v>25</v>
      </c>
      <c r="P4" s="11">
        <v>0</v>
      </c>
      <c r="Q4" s="16">
        <v>0.02</v>
      </c>
      <c r="R4" s="17">
        <v>0.02</v>
      </c>
      <c r="S4" s="16">
        <v>0.02</v>
      </c>
      <c r="T4" s="17">
        <v>0.02</v>
      </c>
      <c r="U4" s="16">
        <v>0.03</v>
      </c>
      <c r="V4" s="17">
        <v>0.03</v>
      </c>
      <c r="W4" s="16">
        <v>0.04</v>
      </c>
      <c r="X4" s="17">
        <v>0.04</v>
      </c>
      <c r="Y4" s="16">
        <v>0.05</v>
      </c>
      <c r="Z4" s="17">
        <v>0.05</v>
      </c>
      <c r="AB4" s="13">
        <v>0</v>
      </c>
      <c r="AC4" s="13"/>
      <c r="AD4" s="18">
        <v>0.02</v>
      </c>
      <c r="AE4" s="19">
        <v>0.02</v>
      </c>
      <c r="AF4" s="18">
        <v>0.02</v>
      </c>
      <c r="AG4" s="19">
        <v>0.02</v>
      </c>
      <c r="AH4" s="18">
        <v>0.02</v>
      </c>
      <c r="AI4" s="19">
        <v>0.02</v>
      </c>
      <c r="AJ4" s="18">
        <v>0.03</v>
      </c>
      <c r="AK4" s="19">
        <v>0.03</v>
      </c>
      <c r="AL4" s="18">
        <v>0.05</v>
      </c>
      <c r="AM4" s="18">
        <v>0.05</v>
      </c>
      <c r="AO4" s="9">
        <v>0.21</v>
      </c>
      <c r="BG4" s="5">
        <v>5</v>
      </c>
    </row>
    <row r="5" spans="1:62" x14ac:dyDescent="0.35">
      <c r="A5" s="36"/>
      <c r="B5" s="36"/>
      <c r="C5" s="36"/>
      <c r="D5" s="36"/>
      <c r="E5" s="36"/>
      <c r="F5" s="36"/>
      <c r="G5" s="36"/>
      <c r="N5" s="5" t="s">
        <v>26</v>
      </c>
      <c r="P5" s="11">
        <v>1</v>
      </c>
      <c r="Q5" s="16">
        <v>0.14000000000000001</v>
      </c>
      <c r="R5" s="17">
        <v>0.18</v>
      </c>
      <c r="S5" s="16">
        <v>0.14000000000000001</v>
      </c>
      <c r="T5" s="17">
        <v>0.18</v>
      </c>
      <c r="U5" s="16">
        <v>0.15</v>
      </c>
      <c r="V5" s="17">
        <v>0.19</v>
      </c>
      <c r="W5" s="16">
        <v>0.16</v>
      </c>
      <c r="X5" s="17">
        <v>0.2</v>
      </c>
      <c r="Y5" s="16">
        <v>0.17</v>
      </c>
      <c r="Z5" s="17">
        <v>0.21</v>
      </c>
      <c r="AB5" s="20" t="s">
        <v>27</v>
      </c>
      <c r="AC5" s="13">
        <v>1</v>
      </c>
      <c r="AD5" s="18">
        <v>0.14000000000000001</v>
      </c>
      <c r="AE5" s="19">
        <v>0.14000000000000001</v>
      </c>
      <c r="AF5" s="18">
        <v>0.14000000000000001</v>
      </c>
      <c r="AG5" s="19">
        <v>0.14000000000000001</v>
      </c>
      <c r="AH5" s="18">
        <v>0.15</v>
      </c>
      <c r="AI5" s="19">
        <v>0.15</v>
      </c>
      <c r="AJ5" s="18">
        <v>0.16</v>
      </c>
      <c r="AK5" s="19">
        <v>0.16</v>
      </c>
      <c r="AL5" s="18">
        <v>0.17</v>
      </c>
      <c r="AM5" s="18">
        <v>0.17</v>
      </c>
      <c r="AO5" s="9">
        <v>0.4</v>
      </c>
      <c r="AQ5" s="5" t="s">
        <v>28</v>
      </c>
      <c r="BG5" s="5">
        <v>6</v>
      </c>
    </row>
    <row r="6" spans="1:62" x14ac:dyDescent="0.35">
      <c r="B6" s="10" t="s">
        <v>29</v>
      </c>
      <c r="D6" s="10" t="s">
        <v>30</v>
      </c>
      <c r="F6" s="10" t="s">
        <v>31</v>
      </c>
      <c r="N6" s="5" t="s">
        <v>32</v>
      </c>
      <c r="P6" s="11">
        <v>51</v>
      </c>
      <c r="Q6" s="16">
        <v>0.15</v>
      </c>
      <c r="R6" s="17">
        <v>0.19</v>
      </c>
      <c r="S6" s="16">
        <v>0.15</v>
      </c>
      <c r="T6" s="17">
        <v>0.19</v>
      </c>
      <c r="U6" s="16">
        <v>0.16</v>
      </c>
      <c r="V6" s="17">
        <v>0.2</v>
      </c>
      <c r="W6" s="16">
        <v>0.17</v>
      </c>
      <c r="X6" s="17">
        <v>0.21</v>
      </c>
      <c r="Y6" s="16">
        <v>0.18</v>
      </c>
      <c r="Z6" s="17">
        <v>0.22</v>
      </c>
      <c r="AB6" s="21" t="s">
        <v>27</v>
      </c>
      <c r="AC6" s="5">
        <v>30</v>
      </c>
      <c r="AD6" s="22">
        <v>0.12</v>
      </c>
      <c r="AE6" s="23">
        <v>0.12</v>
      </c>
      <c r="AF6" s="22">
        <v>0.12</v>
      </c>
      <c r="AG6" s="23">
        <v>0.12</v>
      </c>
      <c r="AH6" s="22">
        <v>0.13</v>
      </c>
      <c r="AI6" s="23">
        <v>0.13</v>
      </c>
      <c r="AJ6" s="22">
        <v>0.14000000000000001</v>
      </c>
      <c r="AK6" s="23">
        <v>0.14000000000000001</v>
      </c>
      <c r="AL6" s="22">
        <v>0.15</v>
      </c>
      <c r="AM6" s="22">
        <v>0.15</v>
      </c>
      <c r="AO6" s="9">
        <v>0.41</v>
      </c>
      <c r="AQ6" s="39">
        <f ca="1">TODAY()</f>
        <v>45027</v>
      </c>
      <c r="AR6" s="5" t="s">
        <v>33</v>
      </c>
    </row>
    <row r="7" spans="1:62" x14ac:dyDescent="0.35">
      <c r="A7" s="5" t="s">
        <v>34</v>
      </c>
      <c r="B7" s="1">
        <v>20000</v>
      </c>
      <c r="D7" s="5">
        <f>B7</f>
        <v>20000</v>
      </c>
      <c r="F7" s="5">
        <f>B7</f>
        <v>20000</v>
      </c>
      <c r="P7" s="11">
        <v>55</v>
      </c>
      <c r="Q7" s="16">
        <v>0.16</v>
      </c>
      <c r="R7" s="17">
        <v>0.2</v>
      </c>
      <c r="S7" s="16">
        <v>0.16</v>
      </c>
      <c r="T7" s="17">
        <v>0.2</v>
      </c>
      <c r="U7" s="16">
        <v>0.17</v>
      </c>
      <c r="V7" s="17">
        <v>0.21</v>
      </c>
      <c r="W7" s="16">
        <v>0.18</v>
      </c>
      <c r="X7" s="17">
        <v>0.22</v>
      </c>
      <c r="Y7" s="16">
        <v>0.19</v>
      </c>
      <c r="Z7" s="17">
        <v>0.23</v>
      </c>
      <c r="AB7" s="21" t="s">
        <v>27</v>
      </c>
      <c r="AC7" s="5">
        <v>40</v>
      </c>
      <c r="AD7" s="22">
        <v>0.08</v>
      </c>
      <c r="AE7" s="23">
        <v>0.08</v>
      </c>
      <c r="AF7" s="22">
        <v>0.08</v>
      </c>
      <c r="AG7" s="23">
        <v>0.08</v>
      </c>
      <c r="AH7" s="22">
        <v>0.09</v>
      </c>
      <c r="AI7" s="23">
        <v>0.09</v>
      </c>
      <c r="AJ7" s="22">
        <v>0.1</v>
      </c>
      <c r="AK7" s="23">
        <v>0.1</v>
      </c>
      <c r="AL7" s="22">
        <v>0.11</v>
      </c>
      <c r="AM7" s="22">
        <v>0.11</v>
      </c>
      <c r="AO7" s="9">
        <v>0.45</v>
      </c>
      <c r="AQ7" s="39">
        <v>46015</v>
      </c>
      <c r="AR7" s="5" t="s">
        <v>35</v>
      </c>
    </row>
    <row r="8" spans="1:62" x14ac:dyDescent="0.35">
      <c r="A8" s="5" t="s">
        <v>36</v>
      </c>
      <c r="B8" s="1">
        <v>5</v>
      </c>
      <c r="D8" s="5">
        <f>B8</f>
        <v>5</v>
      </c>
      <c r="F8" s="5">
        <f>B8</f>
        <v>5</v>
      </c>
      <c r="P8" s="11">
        <v>60</v>
      </c>
      <c r="Q8" s="16">
        <v>0.17</v>
      </c>
      <c r="R8" s="17">
        <v>0.21</v>
      </c>
      <c r="S8" s="16">
        <v>0.17</v>
      </c>
      <c r="T8" s="17">
        <v>0.21</v>
      </c>
      <c r="U8" s="16">
        <v>0.18</v>
      </c>
      <c r="V8" s="17">
        <v>0.22</v>
      </c>
      <c r="W8" s="16">
        <v>0.19</v>
      </c>
      <c r="X8" s="17">
        <v>0.23</v>
      </c>
      <c r="Y8" s="16">
        <v>0.2</v>
      </c>
      <c r="Z8" s="17">
        <v>0.24</v>
      </c>
      <c r="AB8" s="21" t="s">
        <v>27</v>
      </c>
      <c r="AC8" s="5">
        <v>70</v>
      </c>
      <c r="AD8" s="22">
        <v>0.05</v>
      </c>
      <c r="AE8" s="23">
        <v>0.05</v>
      </c>
      <c r="AF8" s="22">
        <v>0.05</v>
      </c>
      <c r="AG8" s="23">
        <v>0.05</v>
      </c>
      <c r="AH8" s="22">
        <v>0.06</v>
      </c>
      <c r="AI8" s="23">
        <v>0.06</v>
      </c>
      <c r="AJ8" s="22">
        <v>7.0000000000000007E-2</v>
      </c>
      <c r="AK8" s="23">
        <v>7.0000000000000007E-2</v>
      </c>
      <c r="AL8" s="22">
        <v>0.08</v>
      </c>
      <c r="AM8" s="22">
        <v>0.08</v>
      </c>
      <c r="AO8" s="9">
        <v>0.46</v>
      </c>
      <c r="AQ8" s="33">
        <f ca="1">EDATE($AQ$6,$B$8*12)-$AQ$7</f>
        <v>839</v>
      </c>
      <c r="AR8" s="5" t="s">
        <v>37</v>
      </c>
    </row>
    <row r="9" spans="1:62" ht="16.5" x14ac:dyDescent="0.45">
      <c r="A9" s="5" t="s">
        <v>38</v>
      </c>
      <c r="B9" s="1">
        <v>127</v>
      </c>
      <c r="D9" s="5">
        <v>0</v>
      </c>
      <c r="F9" s="1">
        <v>29</v>
      </c>
      <c r="P9" s="11">
        <v>65</v>
      </c>
      <c r="Q9" s="16">
        <v>0.18</v>
      </c>
      <c r="R9" s="17">
        <v>0.22</v>
      </c>
      <c r="S9" s="16">
        <v>0.18</v>
      </c>
      <c r="T9" s="17">
        <v>0.22</v>
      </c>
      <c r="U9" s="16">
        <v>0.19</v>
      </c>
      <c r="V9" s="17">
        <v>0.23</v>
      </c>
      <c r="W9" s="16">
        <v>0.2</v>
      </c>
      <c r="X9" s="17">
        <v>0.24</v>
      </c>
      <c r="Y9" s="16">
        <v>0.21</v>
      </c>
      <c r="Z9" s="17">
        <v>0.25</v>
      </c>
      <c r="AB9" s="24" t="s">
        <v>27</v>
      </c>
      <c r="AC9" s="25">
        <v>130</v>
      </c>
      <c r="AD9" s="26">
        <v>0.02</v>
      </c>
      <c r="AE9" s="27">
        <v>0.02</v>
      </c>
      <c r="AF9" s="26">
        <v>0.02</v>
      </c>
      <c r="AG9" s="27">
        <v>0.02</v>
      </c>
      <c r="AH9" s="26">
        <v>0.03</v>
      </c>
      <c r="AI9" s="27">
        <v>0.03</v>
      </c>
      <c r="AJ9" s="26">
        <v>0.04</v>
      </c>
      <c r="AK9" s="27">
        <v>0.04</v>
      </c>
      <c r="AL9" s="26">
        <v>0.05</v>
      </c>
      <c r="AM9" s="26">
        <v>0.05</v>
      </c>
    </row>
    <row r="10" spans="1:62" ht="16.5" x14ac:dyDescent="0.45">
      <c r="A10" s="5" t="s">
        <v>39</v>
      </c>
      <c r="B10" s="5">
        <f>ROUND(((B7*B8)/0.6213)*B9/1000,0)</f>
        <v>20441</v>
      </c>
      <c r="D10" s="5">
        <f>ROUND(((D7*D8)/0.6213)*D9/1000,0)</f>
        <v>0</v>
      </c>
      <c r="F10" s="5">
        <f>ROUND(((F7*F8)/0.6213)*F9/1000,0)</f>
        <v>4668</v>
      </c>
      <c r="P10" s="11">
        <v>70</v>
      </c>
      <c r="Q10" s="16">
        <v>0.19</v>
      </c>
      <c r="R10" s="17">
        <v>0.23</v>
      </c>
      <c r="S10" s="16">
        <v>0.19</v>
      </c>
      <c r="T10" s="17">
        <v>0.23</v>
      </c>
      <c r="U10" s="16">
        <v>0.2</v>
      </c>
      <c r="V10" s="17">
        <v>0.24</v>
      </c>
      <c r="W10" s="16">
        <v>0.21</v>
      </c>
      <c r="X10" s="17">
        <v>0.25</v>
      </c>
      <c r="Y10" s="16">
        <v>0.21</v>
      </c>
      <c r="Z10" s="17">
        <v>0.25</v>
      </c>
    </row>
    <row r="11" spans="1:62" ht="16.5" x14ac:dyDescent="0.45">
      <c r="A11" s="5" t="s">
        <v>40</v>
      </c>
      <c r="D11" s="5">
        <f>$B10-D10</f>
        <v>20441</v>
      </c>
      <c r="F11" s="5">
        <f>$B10-F10</f>
        <v>15773</v>
      </c>
      <c r="P11" s="11">
        <v>75</v>
      </c>
      <c r="Q11" s="16">
        <v>0.2</v>
      </c>
      <c r="R11" s="17">
        <v>0.24</v>
      </c>
      <c r="S11" s="16">
        <v>0.2</v>
      </c>
      <c r="T11" s="17">
        <v>0.24</v>
      </c>
      <c r="U11" s="42">
        <v>0.21</v>
      </c>
      <c r="V11" s="43">
        <v>0.25</v>
      </c>
      <c r="W11" s="42">
        <v>0.21</v>
      </c>
      <c r="X11" s="43">
        <v>0.25</v>
      </c>
      <c r="Y11" s="42">
        <v>0.21</v>
      </c>
      <c r="Z11" s="43">
        <v>0.25</v>
      </c>
    </row>
    <row r="12" spans="1:62" x14ac:dyDescent="0.35">
      <c r="P12" s="11">
        <v>80</v>
      </c>
      <c r="Q12" s="16">
        <v>0.21</v>
      </c>
      <c r="R12" s="17">
        <v>0.25</v>
      </c>
      <c r="S12" s="16">
        <v>0.21</v>
      </c>
      <c r="T12" s="17">
        <v>0.25</v>
      </c>
      <c r="U12" s="42">
        <v>0.22</v>
      </c>
      <c r="V12" s="43">
        <v>0.26</v>
      </c>
      <c r="W12" s="42">
        <v>0.22</v>
      </c>
      <c r="X12" s="43">
        <v>0.26</v>
      </c>
      <c r="Y12" s="42">
        <v>0.22</v>
      </c>
      <c r="Z12" s="43">
        <v>0.26</v>
      </c>
    </row>
    <row r="13" spans="1:62" x14ac:dyDescent="0.35">
      <c r="P13" s="11">
        <v>85</v>
      </c>
      <c r="Q13" s="16">
        <v>0.22</v>
      </c>
      <c r="R13" s="17">
        <v>0.26</v>
      </c>
      <c r="S13" s="16">
        <v>0.22</v>
      </c>
      <c r="T13" s="17">
        <v>0.26</v>
      </c>
      <c r="U13" s="42">
        <v>0.23</v>
      </c>
      <c r="V13" s="43">
        <v>0.27</v>
      </c>
      <c r="W13" s="42">
        <v>0.23</v>
      </c>
      <c r="X13" s="43">
        <v>0.27</v>
      </c>
      <c r="Y13" s="42">
        <v>0.23</v>
      </c>
      <c r="Z13" s="43">
        <v>0.27</v>
      </c>
    </row>
    <row r="14" spans="1:62" ht="15" customHeight="1" x14ac:dyDescent="0.35">
      <c r="A14" s="49" t="s">
        <v>41</v>
      </c>
      <c r="B14" s="49"/>
      <c r="C14" s="49"/>
      <c r="D14" s="49"/>
      <c r="E14" s="49"/>
      <c r="F14" s="49"/>
      <c r="G14" s="49"/>
      <c r="P14" s="11">
        <v>90</v>
      </c>
      <c r="Q14" s="16">
        <v>0.23</v>
      </c>
      <c r="R14" s="17">
        <v>0.27</v>
      </c>
      <c r="S14" s="16">
        <v>0.23</v>
      </c>
      <c r="T14" s="17">
        <v>0.27</v>
      </c>
      <c r="U14" s="42">
        <v>0.24</v>
      </c>
      <c r="V14" s="43">
        <v>0.28000000000000003</v>
      </c>
      <c r="W14" s="42">
        <v>0.24</v>
      </c>
      <c r="X14" s="43">
        <v>0.28000000000000003</v>
      </c>
      <c r="Y14" s="42">
        <v>0.24</v>
      </c>
      <c r="Z14" s="43">
        <v>0.28000000000000003</v>
      </c>
    </row>
    <row r="15" spans="1:62" ht="57.65" customHeight="1" x14ac:dyDescent="0.35">
      <c r="A15" s="50" t="s">
        <v>42</v>
      </c>
      <c r="B15" s="50"/>
      <c r="C15" s="50"/>
      <c r="D15" s="50"/>
      <c r="E15" s="50"/>
      <c r="F15" s="50"/>
      <c r="G15" s="50"/>
      <c r="N15" s="28"/>
      <c r="P15" s="11">
        <v>95</v>
      </c>
      <c r="Q15" s="16">
        <v>0.24</v>
      </c>
      <c r="R15" s="17">
        <v>0.28000000000000003</v>
      </c>
      <c r="S15" s="16">
        <v>0.24</v>
      </c>
      <c r="T15" s="17">
        <v>0.28000000000000003</v>
      </c>
      <c r="U15" s="42">
        <v>0.25</v>
      </c>
      <c r="V15" s="43">
        <v>0.28999999999999998</v>
      </c>
      <c r="W15" s="42">
        <v>0.25</v>
      </c>
      <c r="X15" s="43">
        <v>0.28999999999999998</v>
      </c>
      <c r="Y15" s="42">
        <v>0.25</v>
      </c>
      <c r="Z15" s="43">
        <v>0.28999999999999998</v>
      </c>
    </row>
    <row r="16" spans="1:62" x14ac:dyDescent="0.35">
      <c r="A16" s="36"/>
      <c r="B16" s="36"/>
      <c r="C16" s="36"/>
      <c r="D16" s="36"/>
      <c r="E16" s="36"/>
      <c r="F16" s="36"/>
      <c r="G16" s="36"/>
      <c r="P16" s="11">
        <v>100</v>
      </c>
      <c r="Q16" s="16">
        <v>0.25</v>
      </c>
      <c r="R16" s="17">
        <v>0.28999999999999998</v>
      </c>
      <c r="S16" s="16">
        <v>0.25</v>
      </c>
      <c r="T16" s="17">
        <v>0.28999999999999998</v>
      </c>
      <c r="U16" s="42">
        <v>0.26</v>
      </c>
      <c r="V16" s="43">
        <v>0.3</v>
      </c>
      <c r="W16" s="42">
        <v>0.26</v>
      </c>
      <c r="X16" s="43">
        <v>0.3</v>
      </c>
      <c r="Y16" s="42">
        <v>0.26</v>
      </c>
      <c r="Z16" s="43">
        <v>0.3</v>
      </c>
    </row>
    <row r="17" spans="1:26" x14ac:dyDescent="0.35">
      <c r="B17" s="10" t="s">
        <v>29</v>
      </c>
      <c r="D17" s="10" t="s">
        <v>30</v>
      </c>
      <c r="F17" s="10" t="s">
        <v>31</v>
      </c>
      <c r="P17" s="11">
        <v>105</v>
      </c>
      <c r="Q17" s="16">
        <v>0.26</v>
      </c>
      <c r="R17" s="17">
        <v>0.3</v>
      </c>
      <c r="S17" s="16">
        <v>0.26</v>
      </c>
      <c r="T17" s="17">
        <v>0.3</v>
      </c>
      <c r="U17" s="42">
        <v>0.27</v>
      </c>
      <c r="V17" s="43">
        <v>0.31</v>
      </c>
      <c r="W17" s="42">
        <v>0.27</v>
      </c>
      <c r="X17" s="43">
        <v>0.31</v>
      </c>
      <c r="Y17" s="42">
        <v>0.27</v>
      </c>
      <c r="Z17" s="43">
        <v>0.31</v>
      </c>
    </row>
    <row r="18" spans="1:26" x14ac:dyDescent="0.35">
      <c r="A18" s="5" t="s">
        <v>43</v>
      </c>
      <c r="B18" s="1">
        <v>10000</v>
      </c>
      <c r="D18" s="5">
        <f>B18</f>
        <v>10000</v>
      </c>
      <c r="F18" s="5">
        <f>B18</f>
        <v>10000</v>
      </c>
      <c r="P18" s="11">
        <v>110</v>
      </c>
      <c r="Q18" s="16">
        <v>0.27</v>
      </c>
      <c r="R18" s="17">
        <v>0.31</v>
      </c>
      <c r="S18" s="16">
        <v>0.27</v>
      </c>
      <c r="T18" s="17">
        <v>0.31</v>
      </c>
      <c r="U18" s="42">
        <v>0.28000000000000003</v>
      </c>
      <c r="V18" s="43">
        <v>0.32</v>
      </c>
      <c r="W18" s="42">
        <v>0.28000000000000003</v>
      </c>
      <c r="X18" s="43">
        <v>0.32</v>
      </c>
      <c r="Y18" s="42">
        <v>0.28000000000000003</v>
      </c>
      <c r="Z18" s="43">
        <v>0.32</v>
      </c>
    </row>
    <row r="19" spans="1:26" x14ac:dyDescent="0.35">
      <c r="A19" s="5" t="s">
        <v>36</v>
      </c>
      <c r="B19" s="5">
        <f>B8</f>
        <v>5</v>
      </c>
      <c r="D19" s="5">
        <f>B19</f>
        <v>5</v>
      </c>
      <c r="F19" s="5">
        <f>B19</f>
        <v>5</v>
      </c>
      <c r="P19" s="11">
        <v>115</v>
      </c>
      <c r="Q19" s="16">
        <v>0.28000000000000003</v>
      </c>
      <c r="R19" s="17">
        <v>0.32</v>
      </c>
      <c r="S19" s="16">
        <v>0.28000000000000003</v>
      </c>
      <c r="T19" s="17">
        <v>0.32</v>
      </c>
      <c r="U19" s="42">
        <v>0.28999999999999998</v>
      </c>
      <c r="V19" s="43">
        <v>0.33</v>
      </c>
      <c r="W19" s="42">
        <v>0.28999999999999998</v>
      </c>
      <c r="X19" s="43">
        <v>0.33</v>
      </c>
      <c r="Y19" s="42">
        <v>0.28999999999999998</v>
      </c>
      <c r="Z19" s="43">
        <v>0.33</v>
      </c>
    </row>
    <row r="20" spans="1:26" x14ac:dyDescent="0.35">
      <c r="A20" s="5" t="s">
        <v>44</v>
      </c>
      <c r="B20" s="2" t="s">
        <v>18</v>
      </c>
      <c r="C20" s="29"/>
      <c r="D20" s="29" t="s">
        <v>25</v>
      </c>
      <c r="E20" s="29"/>
      <c r="F20" s="2" t="s">
        <v>26</v>
      </c>
      <c r="P20" s="11">
        <v>120</v>
      </c>
      <c r="Q20" s="16">
        <v>0.28999999999999998</v>
      </c>
      <c r="R20" s="17">
        <v>0.33</v>
      </c>
      <c r="S20" s="16">
        <v>0.28999999999999998</v>
      </c>
      <c r="T20" s="17">
        <v>0.33</v>
      </c>
      <c r="U20" s="42">
        <v>0.3</v>
      </c>
      <c r="V20" s="43">
        <v>0.34</v>
      </c>
      <c r="W20" s="42">
        <v>0.3</v>
      </c>
      <c r="X20" s="43">
        <v>0.34</v>
      </c>
      <c r="Y20" s="42">
        <v>0.3</v>
      </c>
      <c r="Z20" s="43">
        <v>0.34</v>
      </c>
    </row>
    <row r="21" spans="1:26" x14ac:dyDescent="0.35">
      <c r="A21" s="5" t="s">
        <v>45</v>
      </c>
      <c r="B21" s="1">
        <v>50</v>
      </c>
      <c r="D21" s="5" t="s">
        <v>46</v>
      </c>
      <c r="F21" s="1">
        <v>128</v>
      </c>
      <c r="P21" s="11">
        <v>125</v>
      </c>
      <c r="Q21" s="16">
        <v>0.3</v>
      </c>
      <c r="R21" s="17">
        <v>0.34</v>
      </c>
      <c r="S21" s="16">
        <v>0.3</v>
      </c>
      <c r="T21" s="17">
        <v>0.34</v>
      </c>
      <c r="U21" s="42">
        <v>0.31</v>
      </c>
      <c r="V21" s="43">
        <v>0.35</v>
      </c>
      <c r="W21" s="42">
        <v>0.31</v>
      </c>
      <c r="X21" s="43">
        <v>0.35</v>
      </c>
      <c r="Y21" s="42">
        <v>0.31</v>
      </c>
      <c r="Z21" s="43">
        <v>0.35</v>
      </c>
    </row>
    <row r="22" spans="1:26" x14ac:dyDescent="0.35">
      <c r="A22" s="5" t="s">
        <v>47</v>
      </c>
      <c r="B22" s="1">
        <v>162.69999999999999</v>
      </c>
      <c r="D22" s="5" t="s">
        <v>46</v>
      </c>
      <c r="F22" s="1">
        <v>146.6</v>
      </c>
      <c r="P22" s="11">
        <v>130</v>
      </c>
      <c r="Q22" s="16">
        <v>0.31</v>
      </c>
      <c r="R22" s="17">
        <v>0.35</v>
      </c>
      <c r="S22" s="16">
        <v>0.31</v>
      </c>
      <c r="T22" s="17">
        <v>0.35</v>
      </c>
      <c r="U22" s="42">
        <v>0.32</v>
      </c>
      <c r="V22" s="43">
        <v>0.36</v>
      </c>
      <c r="W22" s="42">
        <v>0.32</v>
      </c>
      <c r="X22" s="43">
        <v>0.36</v>
      </c>
      <c r="Y22" s="42">
        <v>0.32</v>
      </c>
      <c r="Z22" s="43">
        <v>0.36</v>
      </c>
    </row>
    <row r="23" spans="1:26" x14ac:dyDescent="0.35">
      <c r="A23" s="5" t="s">
        <v>48</v>
      </c>
      <c r="B23" s="5" t="s">
        <v>46</v>
      </c>
      <c r="D23" s="1">
        <v>58</v>
      </c>
      <c r="F23" s="5" t="s">
        <v>46</v>
      </c>
      <c r="P23" s="11">
        <v>135</v>
      </c>
      <c r="Q23" s="16">
        <v>0.32</v>
      </c>
      <c r="R23" s="17">
        <v>0.36</v>
      </c>
      <c r="S23" s="16">
        <v>0.32</v>
      </c>
      <c r="T23" s="17">
        <v>0.36</v>
      </c>
      <c r="U23" s="42">
        <v>0.33</v>
      </c>
      <c r="V23" s="43">
        <v>0.37</v>
      </c>
      <c r="W23" s="42">
        <v>0.33</v>
      </c>
      <c r="X23" s="43">
        <v>0.37</v>
      </c>
      <c r="Y23" s="42">
        <v>0.33</v>
      </c>
      <c r="Z23" s="43">
        <v>0.37</v>
      </c>
    </row>
    <row r="24" spans="1:26" x14ac:dyDescent="0.35">
      <c r="A24" s="5" t="s">
        <v>49</v>
      </c>
      <c r="B24" s="5" t="s">
        <v>46</v>
      </c>
      <c r="D24" s="1">
        <v>261</v>
      </c>
      <c r="F24" s="5" t="s">
        <v>46</v>
      </c>
      <c r="P24" s="11">
        <v>140</v>
      </c>
      <c r="Q24" s="16">
        <v>0.33</v>
      </c>
      <c r="R24" s="17">
        <v>0.37</v>
      </c>
      <c r="S24" s="16">
        <v>0.33</v>
      </c>
      <c r="T24" s="17">
        <v>0.37</v>
      </c>
      <c r="U24" s="42">
        <v>0.34</v>
      </c>
      <c r="V24" s="43">
        <v>0.37</v>
      </c>
      <c r="W24" s="42">
        <v>0.34</v>
      </c>
      <c r="X24" s="43">
        <v>0.37</v>
      </c>
      <c r="Y24" s="42">
        <v>0.34</v>
      </c>
      <c r="Z24" s="43">
        <v>0.37</v>
      </c>
    </row>
    <row r="25" spans="1:26" x14ac:dyDescent="0.35">
      <c r="A25" s="5" t="s">
        <v>50</v>
      </c>
      <c r="B25" s="5" t="s">
        <v>46</v>
      </c>
      <c r="D25" s="1">
        <v>33.21</v>
      </c>
      <c r="F25" s="5" t="s">
        <v>46</v>
      </c>
      <c r="P25" s="11">
        <v>145</v>
      </c>
      <c r="Q25" s="16">
        <v>0.34</v>
      </c>
      <c r="R25" s="17">
        <v>0.37</v>
      </c>
      <c r="S25" s="16">
        <v>0.34</v>
      </c>
      <c r="T25" s="17">
        <v>0.37</v>
      </c>
      <c r="U25" s="42">
        <v>0.35</v>
      </c>
      <c r="V25" s="43">
        <v>0.37</v>
      </c>
      <c r="W25" s="42">
        <v>0.35</v>
      </c>
      <c r="X25" s="43">
        <v>0.37</v>
      </c>
      <c r="Y25" s="42">
        <v>0.35</v>
      </c>
      <c r="Z25" s="43">
        <v>0.37</v>
      </c>
    </row>
    <row r="26" spans="1:26" x14ac:dyDescent="0.35">
      <c r="A26" s="5" t="s">
        <v>51</v>
      </c>
      <c r="B26" s="5" t="s">
        <v>46</v>
      </c>
      <c r="D26" s="1">
        <v>48</v>
      </c>
      <c r="F26" s="5" t="s">
        <v>46</v>
      </c>
      <c r="P26" s="11">
        <v>150</v>
      </c>
      <c r="Q26" s="16">
        <v>0.35</v>
      </c>
      <c r="R26" s="17">
        <v>0.37</v>
      </c>
      <c r="S26" s="16">
        <v>0.35</v>
      </c>
      <c r="T26" s="17">
        <v>0.37</v>
      </c>
      <c r="U26" s="42">
        <v>0.36</v>
      </c>
      <c r="V26" s="43">
        <v>0.37</v>
      </c>
      <c r="W26" s="42">
        <v>0.36</v>
      </c>
      <c r="X26" s="43">
        <v>0.37</v>
      </c>
      <c r="Y26" s="42">
        <v>0.36</v>
      </c>
      <c r="Z26" s="43">
        <v>0.37</v>
      </c>
    </row>
    <row r="27" spans="1:26" x14ac:dyDescent="0.35">
      <c r="A27" s="5" t="s">
        <v>52</v>
      </c>
      <c r="B27" s="5" t="s">
        <v>46</v>
      </c>
      <c r="D27" s="3">
        <v>0.8</v>
      </c>
      <c r="F27" s="5" t="s">
        <v>46</v>
      </c>
      <c r="P27" s="11">
        <v>155</v>
      </c>
      <c r="Q27" s="16">
        <v>0.36</v>
      </c>
      <c r="R27" s="17">
        <v>0.37</v>
      </c>
      <c r="S27" s="16">
        <v>0.36</v>
      </c>
      <c r="T27" s="17">
        <v>0.37</v>
      </c>
      <c r="U27" s="42">
        <v>0.37</v>
      </c>
      <c r="V27" s="43">
        <v>0.37</v>
      </c>
      <c r="W27" s="42">
        <v>0.37</v>
      </c>
      <c r="X27" s="43">
        <v>0.37</v>
      </c>
      <c r="Y27" s="42">
        <v>0.37</v>
      </c>
      <c r="Z27" s="43">
        <v>0.37</v>
      </c>
    </row>
    <row r="28" spans="1:26" x14ac:dyDescent="0.35">
      <c r="A28" s="5" t="s">
        <v>53</v>
      </c>
      <c r="B28" s="5" t="s">
        <v>46</v>
      </c>
      <c r="D28" s="35">
        <f>1-D27</f>
        <v>0.19999999999999996</v>
      </c>
      <c r="F28" s="5" t="s">
        <v>46</v>
      </c>
      <c r="P28" s="11">
        <v>160</v>
      </c>
      <c r="Q28" s="16">
        <v>0.37</v>
      </c>
      <c r="R28" s="17">
        <v>0.37</v>
      </c>
      <c r="S28" s="16">
        <v>0.37</v>
      </c>
      <c r="T28" s="17">
        <v>0.37</v>
      </c>
      <c r="U28" s="42">
        <v>0.37</v>
      </c>
      <c r="V28" s="43">
        <v>0.37</v>
      </c>
      <c r="W28" s="42">
        <v>0.37</v>
      </c>
      <c r="X28" s="43">
        <v>0.37</v>
      </c>
      <c r="Y28" s="42">
        <v>0.37</v>
      </c>
      <c r="Z28" s="43">
        <v>0.37</v>
      </c>
    </row>
    <row r="29" spans="1:26" ht="14.5" customHeight="1" x14ac:dyDescent="0.35">
      <c r="A29" s="5" t="s">
        <v>54</v>
      </c>
      <c r="D29" s="15">
        <f>ROUND(((D$18*D$19)/D$24)*D$23*D27*(D25/100),0)</f>
        <v>2952</v>
      </c>
      <c r="P29" s="11">
        <v>165</v>
      </c>
      <c r="Q29" s="16">
        <v>0.37</v>
      </c>
      <c r="R29" s="17">
        <v>0.37</v>
      </c>
      <c r="S29" s="16">
        <v>0.37</v>
      </c>
      <c r="T29" s="17">
        <v>0.37</v>
      </c>
      <c r="U29" s="42">
        <v>0.37</v>
      </c>
      <c r="V29" s="43">
        <v>0.37</v>
      </c>
      <c r="W29" s="42">
        <v>0.37</v>
      </c>
      <c r="X29" s="43">
        <v>0.37</v>
      </c>
      <c r="Y29" s="42">
        <v>0.37</v>
      </c>
      <c r="Z29" s="43">
        <v>0.37</v>
      </c>
    </row>
    <row r="30" spans="1:26" ht="14.5" customHeight="1" x14ac:dyDescent="0.35">
      <c r="A30" s="5" t="s">
        <v>55</v>
      </c>
      <c r="D30" s="15">
        <f>ROUND(((D$18*D$19)/D$24)*D$23*D28*(D26/100),0)</f>
        <v>1067</v>
      </c>
      <c r="P30" s="11">
        <v>170</v>
      </c>
      <c r="Q30" s="16">
        <v>0.37</v>
      </c>
      <c r="R30" s="17">
        <v>0.37</v>
      </c>
      <c r="S30" s="16">
        <v>0.37</v>
      </c>
      <c r="T30" s="17">
        <v>0.37</v>
      </c>
      <c r="U30" s="42">
        <v>0.37</v>
      </c>
      <c r="V30" s="43">
        <v>0.37</v>
      </c>
      <c r="W30" s="42">
        <v>0.37</v>
      </c>
      <c r="X30" s="43">
        <v>0.37</v>
      </c>
      <c r="Y30" s="42">
        <v>0.37</v>
      </c>
      <c r="Z30" s="43">
        <v>0.37</v>
      </c>
    </row>
    <row r="31" spans="1:26" x14ac:dyDescent="0.35">
      <c r="A31" s="5" t="s">
        <v>56</v>
      </c>
      <c r="B31" s="5">
        <f>ROUND(((B18*B19)/B21)*(B22/0.22/100),0)</f>
        <v>7395</v>
      </c>
      <c r="D31" s="5">
        <f>D29+D30</f>
        <v>4019</v>
      </c>
      <c r="F31" s="5">
        <f>ROUND(((F18*F19)/F21)*(F22/0.22/100),0)</f>
        <v>2603</v>
      </c>
      <c r="P31" s="11">
        <v>175</v>
      </c>
      <c r="Q31" s="16">
        <v>0.37</v>
      </c>
      <c r="R31" s="17">
        <v>0.37</v>
      </c>
      <c r="S31" s="16">
        <v>0.37</v>
      </c>
      <c r="T31" s="17">
        <v>0.37</v>
      </c>
      <c r="U31" s="42">
        <v>0.37</v>
      </c>
      <c r="V31" s="43">
        <v>0.37</v>
      </c>
      <c r="W31" s="42">
        <v>0.37</v>
      </c>
      <c r="X31" s="43">
        <v>0.37</v>
      </c>
      <c r="Y31" s="42">
        <v>0.37</v>
      </c>
      <c r="Z31" s="43">
        <v>0.37</v>
      </c>
    </row>
    <row r="32" spans="1:26" x14ac:dyDescent="0.35">
      <c r="A32" s="5" t="s">
        <v>57</v>
      </c>
      <c r="D32" s="5">
        <f>$B31-D31</f>
        <v>3376</v>
      </c>
      <c r="F32" s="5">
        <f>$B31-F31</f>
        <v>4792</v>
      </c>
      <c r="P32" s="11">
        <v>180</v>
      </c>
      <c r="Q32" s="16">
        <v>0.37</v>
      </c>
      <c r="R32" s="17">
        <v>0.37</v>
      </c>
      <c r="S32" s="16">
        <v>0.37</v>
      </c>
      <c r="T32" s="17">
        <v>0.37</v>
      </c>
      <c r="U32" s="42">
        <v>0.37</v>
      </c>
      <c r="V32" s="43">
        <v>0.37</v>
      </c>
      <c r="W32" s="42">
        <v>0.37</v>
      </c>
      <c r="X32" s="43">
        <v>0.37</v>
      </c>
      <c r="Y32" s="42">
        <v>0.37</v>
      </c>
      <c r="Z32" s="43">
        <v>0.37</v>
      </c>
    </row>
    <row r="33" spans="1:26" x14ac:dyDescent="0.35">
      <c r="P33" s="11">
        <v>185</v>
      </c>
      <c r="Q33" s="16">
        <v>0.37</v>
      </c>
      <c r="R33" s="17">
        <v>0.37</v>
      </c>
      <c r="S33" s="16">
        <v>0.37</v>
      </c>
      <c r="T33" s="17">
        <v>0.37</v>
      </c>
      <c r="U33" s="42">
        <v>0.37</v>
      </c>
      <c r="V33" s="43">
        <v>0.37</v>
      </c>
      <c r="W33" s="42">
        <v>0.37</v>
      </c>
      <c r="X33" s="43">
        <v>0.37</v>
      </c>
      <c r="Y33" s="42">
        <v>0.37</v>
      </c>
      <c r="Z33" s="43">
        <v>0.37</v>
      </c>
    </row>
    <row r="34" spans="1:26" x14ac:dyDescent="0.35">
      <c r="P34" s="11">
        <v>190</v>
      </c>
      <c r="Q34" s="16">
        <v>0.37</v>
      </c>
      <c r="R34" s="17">
        <v>0.37</v>
      </c>
      <c r="S34" s="16">
        <v>0.37</v>
      </c>
      <c r="T34" s="17">
        <v>0.37</v>
      </c>
      <c r="U34" s="42">
        <v>0.37</v>
      </c>
      <c r="V34" s="43">
        <v>0.37</v>
      </c>
      <c r="W34" s="42">
        <v>0.37</v>
      </c>
      <c r="X34" s="43">
        <v>0.37</v>
      </c>
      <c r="Y34" s="42">
        <v>0.37</v>
      </c>
      <c r="Z34" s="43">
        <v>0.37</v>
      </c>
    </row>
    <row r="35" spans="1:26" x14ac:dyDescent="0.35">
      <c r="A35" s="49" t="s">
        <v>58</v>
      </c>
      <c r="B35" s="49"/>
      <c r="C35" s="49"/>
      <c r="D35" s="49"/>
      <c r="E35" s="49"/>
      <c r="F35" s="49"/>
      <c r="G35" s="49"/>
      <c r="P35" s="11">
        <v>195</v>
      </c>
      <c r="Q35" s="16">
        <v>0.37</v>
      </c>
      <c r="R35" s="17">
        <v>0.37</v>
      </c>
      <c r="S35" s="16">
        <v>0.37</v>
      </c>
      <c r="T35" s="17">
        <v>0.37</v>
      </c>
      <c r="U35" s="42">
        <v>0.37</v>
      </c>
      <c r="V35" s="43">
        <v>0.37</v>
      </c>
      <c r="W35" s="42">
        <v>0.37</v>
      </c>
      <c r="X35" s="43">
        <v>0.37</v>
      </c>
      <c r="Y35" s="42">
        <v>0.37</v>
      </c>
      <c r="Z35" s="43">
        <v>0.37</v>
      </c>
    </row>
    <row r="36" spans="1:26" ht="116.5" customHeight="1" x14ac:dyDescent="0.35">
      <c r="A36" s="50" t="s">
        <v>59</v>
      </c>
      <c r="B36" s="50"/>
      <c r="C36" s="50"/>
      <c r="D36" s="50"/>
      <c r="E36" s="50"/>
      <c r="F36" s="50"/>
      <c r="G36" s="50"/>
      <c r="P36" s="30">
        <v>200</v>
      </c>
      <c r="Q36" s="31">
        <v>0.37</v>
      </c>
      <c r="R36" s="32">
        <v>0.37</v>
      </c>
      <c r="S36" s="31">
        <v>0.37</v>
      </c>
      <c r="T36" s="32">
        <v>0.37</v>
      </c>
      <c r="U36" s="44">
        <v>0.37</v>
      </c>
      <c r="V36" s="45">
        <v>0.37</v>
      </c>
      <c r="W36" s="44">
        <v>0.37</v>
      </c>
      <c r="X36" s="45">
        <v>0.37</v>
      </c>
      <c r="Y36" s="44">
        <v>0.37</v>
      </c>
      <c r="Z36" s="45">
        <v>0.37</v>
      </c>
    </row>
    <row r="37" spans="1:26" x14ac:dyDescent="0.35">
      <c r="A37" s="36"/>
      <c r="B37" s="36"/>
      <c r="C37" s="36"/>
      <c r="D37" s="36"/>
      <c r="E37" s="36"/>
      <c r="F37" s="36"/>
      <c r="G37" s="36"/>
    </row>
    <row r="38" spans="1:26" x14ac:dyDescent="0.35">
      <c r="B38" s="10" t="s">
        <v>29</v>
      </c>
      <c r="D38" s="10" t="s">
        <v>30</v>
      </c>
      <c r="F38" s="10" t="s">
        <v>31</v>
      </c>
    </row>
    <row r="39" spans="1:26" x14ac:dyDescent="0.35">
      <c r="A39" s="5" t="s">
        <v>60</v>
      </c>
      <c r="B39" s="2" t="s">
        <v>19</v>
      </c>
      <c r="C39" s="29"/>
      <c r="D39" s="29" t="str">
        <f>B39</f>
        <v>No</v>
      </c>
      <c r="E39" s="29"/>
      <c r="F39" s="29" t="str">
        <f>B39</f>
        <v>No</v>
      </c>
    </row>
    <row r="40" spans="1:26" x14ac:dyDescent="0.35">
      <c r="A40" s="5" t="s">
        <v>61</v>
      </c>
      <c r="B40" s="1">
        <v>30000</v>
      </c>
      <c r="C40" s="4"/>
      <c r="D40" s="1">
        <v>30000</v>
      </c>
      <c r="E40" s="4"/>
      <c r="F40" s="1">
        <v>30000</v>
      </c>
    </row>
    <row r="41" spans="1:26" x14ac:dyDescent="0.35">
      <c r="A41" s="5" t="s">
        <v>36</v>
      </c>
      <c r="B41" s="5">
        <f>B8</f>
        <v>5</v>
      </c>
      <c r="D41" s="5">
        <f>B41</f>
        <v>5</v>
      </c>
      <c r="F41" s="5">
        <f>B41</f>
        <v>5</v>
      </c>
    </row>
    <row r="42" spans="1:26" x14ac:dyDescent="0.35">
      <c r="A42" s="5" t="s">
        <v>44</v>
      </c>
      <c r="B42" s="29" t="str">
        <f>B20</f>
        <v>Diesel</v>
      </c>
      <c r="C42" s="29"/>
      <c r="D42" s="29" t="str">
        <f>D20</f>
        <v>Electric</v>
      </c>
      <c r="E42" s="29"/>
      <c r="F42" s="29" t="str">
        <f>F20</f>
        <v>Petrol/electric</v>
      </c>
    </row>
    <row r="43" spans="1:26" x14ac:dyDescent="0.35">
      <c r="A43" s="5" t="s">
        <v>62</v>
      </c>
      <c r="B43" s="2" t="s">
        <v>19</v>
      </c>
    </row>
    <row r="44" spans="1:26" x14ac:dyDescent="0.35">
      <c r="A44" s="5" t="s">
        <v>63</v>
      </c>
      <c r="D44" s="1">
        <v>250</v>
      </c>
      <c r="F44" s="1">
        <v>35</v>
      </c>
    </row>
    <row r="45" spans="1:26" ht="16.5" x14ac:dyDescent="0.45">
      <c r="A45" s="5" t="s">
        <v>38</v>
      </c>
      <c r="B45" s="5">
        <f>B9</f>
        <v>127</v>
      </c>
      <c r="D45" s="5">
        <f>D9</f>
        <v>0</v>
      </c>
      <c r="F45" s="5">
        <f>F9</f>
        <v>29</v>
      </c>
    </row>
    <row r="46" spans="1:26" x14ac:dyDescent="0.35">
      <c r="A46" s="5" t="s">
        <v>64</v>
      </c>
      <c r="B46" s="9">
        <f>IF(B$45=0,Q$4,IF(B$45&lt;51,VLOOKUP(B$44,$AC$5:$AM$9,2),IF(B$42="Diesel",IF(B$43="No",VLOOKUP(B$45,$P$4:$Z$36,3),VLOOKUP(B$45,$P$4:$Z$36,2)),VLOOKUP(B$45,$P$4:$Z$36,2))))</f>
        <v>0.34</v>
      </c>
      <c r="D46" s="9">
        <f>IF(D$45=0,Q$4,IF(D$45&lt;51,VLOOKUP(D$44,$AC$5:$AM$9,2),IF(D$42="Diesel",IF(D$43="No",VLOOKUP(D$45,$P$4:$Z$36,3),VLOOKUP(D$45,$P$4:$Z$36,2)),VLOOKUP(D$45,$P$4:$Z$36,2))))</f>
        <v>0.02</v>
      </c>
      <c r="F46" s="9">
        <f>IF(F$45=0,Q$4,IF(F$45&lt;51,VLOOKUP(F$44,$AC$5:$AM$9,2),IF(F$42="Diesel",IF(F$43="No",VLOOKUP(F$45,$P$4:$Z$36,3),VLOOKUP(F$45,$P$4:$Z$36,2)),VLOOKUP(F$45,$P$4:$Z$36,2))))</f>
        <v>0.12</v>
      </c>
    </row>
    <row r="47" spans="1:26" x14ac:dyDescent="0.35">
      <c r="A47" s="5" t="s">
        <v>65</v>
      </c>
      <c r="B47" s="9">
        <f>IF(B$45=0,S$4,IF(B$45&lt;51,VLOOKUP(B$44,$AC$5:$AM$9,4),IF(B$42="Diesel",IF(B$43="No",VLOOKUP(B$45,$P$4:$Z$36,5),VLOOKUP(B$45,$P$4:$Z$36,4)),VLOOKUP(B$45,$P$4:$Z$36,4))))</f>
        <v>0.34</v>
      </c>
      <c r="D47" s="9">
        <f>IF(D$45=0,S$4,IF(D$45&lt;51,VLOOKUP(D$44,$AC$5:$AM$9,4),IF(D$42="Diesel",IF(D$43="No",VLOOKUP(D$45,$P$4:$Z$36,5),VLOOKUP(D$45,$P$4:$Z$36,4)),VLOOKUP(D$45,$P$4:$Z$36,4))))</f>
        <v>0.02</v>
      </c>
      <c r="F47" s="9">
        <f>IF(F$45=0,S$4,IF(F$45&lt;51,VLOOKUP(F$44,$AC$5:$AM$9,4),IF(F$42="Diesel",IF(F$43="No",VLOOKUP(F$45,$P$4:$Z$36,5),VLOOKUP(F$45,$P$4:$Z$36,4)),VLOOKUP(F$45,$P$4:$Z$36,4))))</f>
        <v>0.12</v>
      </c>
    </row>
    <row r="48" spans="1:26" x14ac:dyDescent="0.35">
      <c r="A48" s="5" t="s">
        <v>66</v>
      </c>
      <c r="B48" s="9">
        <f>IF(B$45=0,U$4,IF(B$45&lt;51,VLOOKUP(B$44,$AC$5:$AM$9,6),IF(B$42="Diesel",IF(B$43="No",VLOOKUP(B$45,$P$4:$Z$36,7),VLOOKUP(B$45,$P$4:$Z$36,6)),VLOOKUP(B$45,$P$4:$Z$36,6))))</f>
        <v>0.35</v>
      </c>
      <c r="D48" s="9">
        <f>IF(D$45=0,U$4,IF(D$45&lt;51,VLOOKUP(D$44,$AC$5:$AM$9,6),IF(D$42="Diesel",IF(D$43="No",VLOOKUP(D$45,$P$4:$Z$36,7),VLOOKUP(D$45,$P$4:$Z$36,6)),VLOOKUP(D$45,$P$4:$Z$36,6))))</f>
        <v>0.03</v>
      </c>
      <c r="F48" s="9">
        <f>IF(F$45=0,U$4,IF(F$45&lt;51,VLOOKUP(F$44,$AC$5:$AM$9,6),IF(F$42="Diesel",IF(F$43="No",VLOOKUP(F$45,$P$4:$Z$36,7),VLOOKUP(F$45,$P$4:$Z$36,6)),VLOOKUP(F$45,$P$4:$Z$36,6))))</f>
        <v>0.13</v>
      </c>
    </row>
    <row r="49" spans="1:6" x14ac:dyDescent="0.35">
      <c r="A49" s="5" t="s">
        <v>67</v>
      </c>
      <c r="B49" s="9">
        <f>IF(B$45=0,W$4,IF(B$45&lt;51,VLOOKUP(B$44,$AC$5:$AM$9,8),IF(B$42="Diesel",IF(B$43="No",VLOOKUP(B$45,$P$4:$Z$36,9),VLOOKUP(B$45,$P$4:$Z$36,8)),VLOOKUP(B$45,$P$4:$Z$36,8))))</f>
        <v>0.35</v>
      </c>
      <c r="D49" s="9">
        <f>IF(D$45=0,W$4,IF(D$45&lt;51,VLOOKUP(D$44,$AC$5:$AM$9,8),IF(D$42="Diesel",IF(D$43="No",VLOOKUP(D$45,$P$4:$Z$36,9),VLOOKUP(D$45,$P$4:$Z$36,8)),VLOOKUP(D$45,$P$4:$Z$36,8))))</f>
        <v>0.04</v>
      </c>
      <c r="F49" s="9">
        <f>IF(F$45=0,W$4,IF(F$45&lt;51,VLOOKUP(F$44,$AC$5:$AM$9,8),IF(F$42="Diesel",IF(F$43="No",VLOOKUP(F$45,$P$4:$Z$36,9),VLOOKUP(F$45,$P$4:$Z$36,8)),VLOOKUP(F$45,$P$4:$Z$36,8))))</f>
        <v>0.14000000000000001</v>
      </c>
    </row>
    <row r="50" spans="1:6" x14ac:dyDescent="0.35">
      <c r="A50" s="5" t="s">
        <v>68</v>
      </c>
      <c r="B50" s="9">
        <f>IF(B$45=0,Y$4,IF(B$45&lt;51,VLOOKUP(B$44,$AC$5:$AM$9,10),IF(B$42="Diesel",IF(B$43="No",VLOOKUP(B$45,$P$4:$Z$36,11),VLOOKUP(B$45,$P$4:$Z$36,10)),VLOOKUP(B$45,$P$4:$Z$36,10))))</f>
        <v>0.35</v>
      </c>
      <c r="D50" s="9">
        <f>IF(D$45=0,Y$4,IF(D$45&lt;51,VLOOKUP(D$44,$AC$5:$AM$9,10),IF(D$42="Diesel",IF(D$43="No",VLOOKUP(D$45,$P$4:$Z$36,11),VLOOKUP(D$45,$P$4:$Z$36,10)),VLOOKUP(D$45,$P$4:$Z$36,10))))</f>
        <v>0.05</v>
      </c>
      <c r="F50" s="9">
        <f>IF(F$45=0,Y$4,IF(F$45&lt;51,VLOOKUP(F$44,$AC$5:$AM$9,10),IF(F$42="Diesel",IF(F$43="No",VLOOKUP(F$45,$P$4:$Z$36,11),VLOOKUP(F$45,$P$4:$Z$36,10)),VLOOKUP(F$45,$P$4:$Z$36,10))))</f>
        <v>0.15</v>
      </c>
    </row>
    <row r="51" spans="1:6" x14ac:dyDescent="0.35">
      <c r="A51" s="5" t="s">
        <v>69</v>
      </c>
      <c r="B51" s="5">
        <f>IF(B$39="No",ROUNDDOWN(B$40*B46,0),ROUNDDOWN((B$40+$AW$3)*B46,0))</f>
        <v>10200</v>
      </c>
      <c r="D51" s="5">
        <f>ROUNDDOWN(D$40*D46,0)</f>
        <v>600</v>
      </c>
      <c r="F51" s="5">
        <f>IF(F$39="No",ROUNDDOWN(F$40*F46,0),ROUNDDOWN((F$40+$AW$3)*F46,0))</f>
        <v>3600</v>
      </c>
    </row>
    <row r="52" spans="1:6" x14ac:dyDescent="0.35">
      <c r="A52" s="5" t="s">
        <v>70</v>
      </c>
      <c r="B52" s="5">
        <f>IF(B$39="No",ROUNDDOWN(B$40*B47,0),ROUNDDOWN((B$40+$AX$3)*B47,0))</f>
        <v>10200</v>
      </c>
      <c r="D52" s="5">
        <f>ROUNDDOWN(D$40*D47,0)</f>
        <v>600</v>
      </c>
      <c r="F52" s="5">
        <f>IF(F$39="No",ROUNDDOWN(F$40*F47,0),ROUNDDOWN((F$40+$AX$3)*F47,0))</f>
        <v>3600</v>
      </c>
    </row>
    <row r="53" spans="1:6" x14ac:dyDescent="0.35">
      <c r="A53" s="5" t="s">
        <v>71</v>
      </c>
      <c r="B53" s="5">
        <f>IF(B$39="No",ROUNDDOWN(B$40*B48,0),ROUNDDOWN((B$40+$AY$3)*B48,0))</f>
        <v>10500</v>
      </c>
      <c r="D53" s="5">
        <f>ROUNDDOWN(D$40*D48,0)</f>
        <v>900</v>
      </c>
      <c r="F53" s="5">
        <f>IF(F$39="No",ROUNDDOWN(F$40*F48,0),ROUNDDOWN((F$40+$AY$3)*F48,0))</f>
        <v>3900</v>
      </c>
    </row>
    <row r="54" spans="1:6" x14ac:dyDescent="0.35">
      <c r="A54" s="5" t="s">
        <v>72</v>
      </c>
      <c r="B54" s="5">
        <f>IF(B$39="No",ROUNDDOWN(B$40*B49,0),ROUNDDOWN((B$40+$AZ$3)*B49,0))</f>
        <v>10500</v>
      </c>
      <c r="D54" s="5">
        <f>ROUNDDOWN(D$40*D49,0)</f>
        <v>1200</v>
      </c>
      <c r="F54" s="5">
        <f>IF(F$39="No",ROUNDDOWN(F$40*F49,0),ROUNDDOWN((F$40+$AZ$3)*F49,0))</f>
        <v>4200</v>
      </c>
    </row>
    <row r="55" spans="1:6" x14ac:dyDescent="0.35">
      <c r="A55" s="5" t="s">
        <v>73</v>
      </c>
      <c r="B55" s="5">
        <f>IF(B$39="No",ROUNDDOWN(B$40*B50,0),ROUNDDOWN((B$40+$BA$3)*B50,0))</f>
        <v>10500</v>
      </c>
      <c r="D55" s="5">
        <f>ROUNDDOWN(D$40*D50,0)</f>
        <v>1500</v>
      </c>
      <c r="F55" s="5">
        <f>IF(F$39="No",ROUNDDOWN(F$40*F50,0),ROUNDDOWN((F$40+$BA$3)*F50,0))</f>
        <v>4500</v>
      </c>
    </row>
    <row r="56" spans="1:6" x14ac:dyDescent="0.35">
      <c r="A56" s="5" t="s">
        <v>74</v>
      </c>
      <c r="B56" s="3">
        <v>0.2</v>
      </c>
      <c r="D56" s="9">
        <f>B56</f>
        <v>0.2</v>
      </c>
      <c r="F56" s="9">
        <f>B56</f>
        <v>0.2</v>
      </c>
    </row>
    <row r="57" spans="1:6" x14ac:dyDescent="0.35">
      <c r="A57" s="5" t="s">
        <v>75</v>
      </c>
      <c r="B57" s="5">
        <f>ROUND(B51*B56,2)</f>
        <v>2040</v>
      </c>
      <c r="D57" s="5">
        <f>ROUND(D51*D56,2)</f>
        <v>120</v>
      </c>
      <c r="F57" s="5">
        <f>ROUND(F51*F56,2)</f>
        <v>720</v>
      </c>
    </row>
    <row r="58" spans="1:6" x14ac:dyDescent="0.35">
      <c r="A58" s="5" t="s">
        <v>76</v>
      </c>
      <c r="B58" s="5">
        <f>IF(B$8&gt;1,ROUND(B52*B$56,2),0)</f>
        <v>2040</v>
      </c>
      <c r="D58" s="5">
        <f>IF(D$8&gt;1,ROUND(D52*D$56,2),0)</f>
        <v>120</v>
      </c>
      <c r="F58" s="5">
        <f>IF(F$8&gt;1,ROUND(F52*F$56,2),0)</f>
        <v>720</v>
      </c>
    </row>
    <row r="59" spans="1:6" x14ac:dyDescent="0.35">
      <c r="A59" s="5" t="s">
        <v>77</v>
      </c>
      <c r="B59" s="5">
        <f>IF(B$8&gt;2,ROUND(B53*B$56,2),0)</f>
        <v>2100</v>
      </c>
      <c r="D59" s="5">
        <f>IF(D$8&gt;2,ROUND(D53*D$56,2),0)</f>
        <v>180</v>
      </c>
      <c r="F59" s="5">
        <f>IF(F$8&gt;2,ROUND(F53*F$56,2),0)</f>
        <v>780</v>
      </c>
    </row>
    <row r="60" spans="1:6" x14ac:dyDescent="0.35">
      <c r="A60" s="5" t="s">
        <v>78</v>
      </c>
      <c r="B60" s="5">
        <f>IF(B$8&gt;3,ROUND(B54*B$56,2),0)</f>
        <v>2100</v>
      </c>
      <c r="D60" s="5">
        <f>IF(D$8&gt;3,ROUND(D54*D$56,2),0)</f>
        <v>240</v>
      </c>
      <c r="F60" s="5">
        <f>IF(F$8&gt;3,ROUND(F54*F$56,2),0)</f>
        <v>840</v>
      </c>
    </row>
    <row r="61" spans="1:6" x14ac:dyDescent="0.35">
      <c r="A61" s="5" t="s">
        <v>79</v>
      </c>
      <c r="B61" s="5">
        <f>IF(B$8&gt;4,ROUND(B55*B$56,2),0)</f>
        <v>2100</v>
      </c>
      <c r="D61" s="5">
        <f>IF(D$8&gt;4,ROUND(D55*D$56,2),0)</f>
        <v>300</v>
      </c>
      <c r="F61" s="5">
        <f>IF(F$8&gt;4,ROUND(F55*F$56,2),0)</f>
        <v>900</v>
      </c>
    </row>
    <row r="62" spans="1:6" x14ac:dyDescent="0.35">
      <c r="A62" s="5" t="s">
        <v>80</v>
      </c>
      <c r="B62" s="33">
        <f>SUM(B57:B61)</f>
        <v>10380</v>
      </c>
      <c r="C62" s="33"/>
      <c r="D62" s="33">
        <f>SUM(D57:D61)</f>
        <v>960</v>
      </c>
      <c r="E62" s="33"/>
      <c r="F62" s="33">
        <f>SUM(F57:F61)</f>
        <v>3960</v>
      </c>
    </row>
    <row r="63" spans="1:6" x14ac:dyDescent="0.35">
      <c r="A63" s="5" t="s">
        <v>81</v>
      </c>
      <c r="B63" s="33"/>
      <c r="C63" s="33"/>
      <c r="D63" s="33">
        <f>$B62-D62</f>
        <v>9420</v>
      </c>
      <c r="E63" s="33"/>
      <c r="F63" s="33">
        <f>$B62-F62</f>
        <v>6420</v>
      </c>
    </row>
    <row r="66" spans="1:7" x14ac:dyDescent="0.35">
      <c r="A66" s="49" t="s">
        <v>82</v>
      </c>
      <c r="B66" s="49"/>
      <c r="C66" s="49"/>
      <c r="D66" s="49"/>
      <c r="E66" s="49"/>
      <c r="F66" s="49"/>
      <c r="G66" s="49"/>
    </row>
    <row r="68" spans="1:7" x14ac:dyDescent="0.35">
      <c r="B68" s="10" t="s">
        <v>29</v>
      </c>
      <c r="D68" s="10" t="s">
        <v>30</v>
      </c>
      <c r="F68" s="10" t="s">
        <v>31</v>
      </c>
    </row>
    <row r="69" spans="1:7" x14ac:dyDescent="0.35">
      <c r="A69" s="5" t="s">
        <v>83</v>
      </c>
      <c r="B69" s="5">
        <f>ROUND(B57/B$56*AQ$3,0)</f>
        <v>1408</v>
      </c>
      <c r="D69" s="5">
        <f>ROUND(D57/D$56*AQ$3,0)</f>
        <v>83</v>
      </c>
      <c r="F69" s="5">
        <f>ROUND(F57/F$56*AQ$3,0)</f>
        <v>497</v>
      </c>
    </row>
    <row r="70" spans="1:7" x14ac:dyDescent="0.35">
      <c r="A70" s="5" t="s">
        <v>84</v>
      </c>
      <c r="B70" s="5">
        <f>ROUND(B58/B$56*AR$3,0)</f>
        <v>1408</v>
      </c>
      <c r="D70" s="5">
        <f>ROUND(D58/D$56*AR$3,0)</f>
        <v>83</v>
      </c>
      <c r="F70" s="5">
        <f>ROUND(F58/F$56*AR$3,0)</f>
        <v>497</v>
      </c>
    </row>
    <row r="71" spans="1:7" x14ac:dyDescent="0.35">
      <c r="A71" s="5" t="s">
        <v>85</v>
      </c>
      <c r="B71" s="5">
        <f>ROUND(B59/B$56*AS$3,0)</f>
        <v>1449</v>
      </c>
      <c r="D71" s="5">
        <f>ROUND(D59/D$56*AS$3,0)</f>
        <v>124</v>
      </c>
      <c r="F71" s="5">
        <f>ROUND(F59/F$56*AS$3,0)</f>
        <v>538</v>
      </c>
    </row>
    <row r="72" spans="1:7" x14ac:dyDescent="0.35">
      <c r="A72" s="5" t="s">
        <v>86</v>
      </c>
      <c r="B72" s="5">
        <f>ROUND(B60/B$56*AT$3,0)</f>
        <v>1449</v>
      </c>
      <c r="D72" s="5">
        <f>ROUND(D60/D$56*AT$3,0)</f>
        <v>166</v>
      </c>
      <c r="F72" s="5">
        <f>ROUND(F60/F$56*AT$3,0)</f>
        <v>580</v>
      </c>
    </row>
    <row r="73" spans="1:7" x14ac:dyDescent="0.35">
      <c r="A73" s="5" t="s">
        <v>87</v>
      </c>
      <c r="B73" s="5">
        <f>ROUND(B61/B$56*AU$3,0)</f>
        <v>1449</v>
      </c>
      <c r="D73" s="5">
        <f>ROUND(D61/D$56*AU$3,0)</f>
        <v>207</v>
      </c>
      <c r="F73" s="5">
        <f>ROUND(F61/F$56*AU$3,0)</f>
        <v>621</v>
      </c>
    </row>
    <row r="74" spans="1:7" x14ac:dyDescent="0.35">
      <c r="A74" s="5" t="s">
        <v>88</v>
      </c>
      <c r="B74" s="5">
        <f>SUM(B69:B73)</f>
        <v>7163</v>
      </c>
      <c r="D74" s="5">
        <f>SUM(D69:D73)</f>
        <v>663</v>
      </c>
      <c r="F74" s="5">
        <f>SUM(F69:F73)</f>
        <v>2733</v>
      </c>
    </row>
    <row r="75" spans="1:7" x14ac:dyDescent="0.35">
      <c r="A75" s="5" t="s">
        <v>81</v>
      </c>
      <c r="D75" s="5">
        <f>$B74-D74</f>
        <v>6500</v>
      </c>
      <c r="F75" s="5">
        <f>$B74-F74</f>
        <v>4430</v>
      </c>
    </row>
    <row r="78" spans="1:7" x14ac:dyDescent="0.35">
      <c r="A78" s="49" t="s">
        <v>89</v>
      </c>
      <c r="B78" s="49"/>
      <c r="C78" s="49"/>
      <c r="D78" s="49"/>
      <c r="E78" s="49"/>
      <c r="F78" s="49"/>
      <c r="G78" s="49"/>
    </row>
    <row r="79" spans="1:7" ht="42.65" customHeight="1" x14ac:dyDescent="0.35">
      <c r="A79" s="50" t="s">
        <v>90</v>
      </c>
      <c r="B79" s="50"/>
      <c r="C79" s="50"/>
      <c r="D79" s="50"/>
      <c r="E79" s="50"/>
      <c r="F79" s="50"/>
      <c r="G79" s="50"/>
    </row>
    <row r="81" spans="1:7" x14ac:dyDescent="0.35">
      <c r="B81" s="10" t="s">
        <v>29</v>
      </c>
      <c r="D81" s="10" t="s">
        <v>30</v>
      </c>
      <c r="F81" s="10" t="s">
        <v>31</v>
      </c>
    </row>
    <row r="82" spans="1:7" x14ac:dyDescent="0.35">
      <c r="A82" s="5" t="s">
        <v>91</v>
      </c>
      <c r="B82" s="1">
        <v>100</v>
      </c>
      <c r="D82" s="5">
        <f>B82</f>
        <v>100</v>
      </c>
      <c r="F82" s="5">
        <f>B82</f>
        <v>100</v>
      </c>
    </row>
    <row r="83" spans="1:7" ht="16.5" x14ac:dyDescent="0.45">
      <c r="A83" s="5" t="s">
        <v>38</v>
      </c>
      <c r="B83" s="5">
        <f>B9</f>
        <v>127</v>
      </c>
      <c r="D83" s="5">
        <f>D9</f>
        <v>0</v>
      </c>
      <c r="F83" s="5">
        <f>F9</f>
        <v>29</v>
      </c>
    </row>
    <row r="84" spans="1:7" x14ac:dyDescent="0.35">
      <c r="A84" s="5" t="s">
        <v>92</v>
      </c>
      <c r="B84" s="5">
        <f>IF(B83&gt;0,B82*B8*$BC2,0)</f>
        <v>7500</v>
      </c>
      <c r="D84" s="5">
        <f ca="1">IF(EDATE($AQ$6,(12*$D$8))&lt;=$AQ$7,0,ROUNDDOWN($D$92/(365/$AQ$8),0)*$BC$2)</f>
        <v>3435</v>
      </c>
      <c r="F84" s="5">
        <f>IF(F83&gt;0,F82*F8*$BC2,0)</f>
        <v>7500</v>
      </c>
    </row>
    <row r="85" spans="1:7" x14ac:dyDescent="0.35">
      <c r="A85" s="5" t="s">
        <v>93</v>
      </c>
      <c r="D85" s="5">
        <f ca="1">$B84-D84</f>
        <v>4065</v>
      </c>
      <c r="F85" s="5">
        <f>$B84-F84</f>
        <v>0</v>
      </c>
    </row>
    <row r="88" spans="1:7" x14ac:dyDescent="0.35">
      <c r="A88" s="49" t="s">
        <v>94</v>
      </c>
      <c r="B88" s="49"/>
      <c r="C88" s="49"/>
      <c r="D88" s="49"/>
      <c r="E88" s="49"/>
      <c r="F88" s="49"/>
      <c r="G88" s="49"/>
    </row>
    <row r="89" spans="1:7" ht="47.5" customHeight="1" x14ac:dyDescent="0.35">
      <c r="A89" s="50" t="s">
        <v>95</v>
      </c>
      <c r="B89" s="50"/>
      <c r="C89" s="50"/>
      <c r="D89" s="50"/>
      <c r="E89" s="50"/>
      <c r="F89" s="50"/>
      <c r="G89" s="50"/>
    </row>
    <row r="91" spans="1:7" x14ac:dyDescent="0.35">
      <c r="B91" s="10" t="s">
        <v>29</v>
      </c>
      <c r="D91" s="10" t="s">
        <v>30</v>
      </c>
      <c r="F91" s="10" t="s">
        <v>31</v>
      </c>
    </row>
    <row r="92" spans="1:7" x14ac:dyDescent="0.35">
      <c r="A92" s="5" t="s">
        <v>91</v>
      </c>
      <c r="B92" s="1">
        <v>100</v>
      </c>
      <c r="D92" s="5">
        <f>B92</f>
        <v>100</v>
      </c>
      <c r="F92" s="5">
        <f>B92</f>
        <v>100</v>
      </c>
    </row>
    <row r="93" spans="1:7" x14ac:dyDescent="0.35">
      <c r="A93" s="5" t="s">
        <v>44</v>
      </c>
      <c r="B93" s="34" t="str">
        <f>B20</f>
        <v>Diesel</v>
      </c>
      <c r="D93" s="29" t="str">
        <f>D20</f>
        <v>Electric</v>
      </c>
      <c r="F93" s="29" t="str">
        <f>F20</f>
        <v>Petrol/electric</v>
      </c>
    </row>
    <row r="94" spans="1:7" x14ac:dyDescent="0.35">
      <c r="A94" s="5" t="s">
        <v>96</v>
      </c>
      <c r="B94" s="1">
        <v>6</v>
      </c>
    </row>
    <row r="95" spans="1:7" x14ac:dyDescent="0.35">
      <c r="A95" s="5" t="s">
        <v>92</v>
      </c>
      <c r="B95" s="5">
        <f>IF(B93="Diesel",IF(B94&lt;6,B92*B8*BE2,0),IF(B94&lt;4,B92*B8*BE2,0))</f>
        <v>0</v>
      </c>
    </row>
    <row r="96" spans="1:7" x14ac:dyDescent="0.35">
      <c r="A96" s="5" t="s">
        <v>93</v>
      </c>
      <c r="D96" s="5">
        <f>$B95-D95</f>
        <v>0</v>
      </c>
      <c r="F96" s="5">
        <f>$B95-F95</f>
        <v>0</v>
      </c>
    </row>
    <row r="99" spans="1:7" x14ac:dyDescent="0.35">
      <c r="A99" s="49" t="s">
        <v>97</v>
      </c>
      <c r="B99" s="49"/>
      <c r="C99" s="49"/>
      <c r="D99" s="49"/>
      <c r="E99" s="49"/>
      <c r="F99" s="49"/>
      <c r="G99" s="49"/>
    </row>
    <row r="101" spans="1:7" x14ac:dyDescent="0.35">
      <c r="B101" s="10" t="s">
        <v>29</v>
      </c>
      <c r="D101" s="10" t="s">
        <v>30</v>
      </c>
      <c r="F101" s="10" t="s">
        <v>31</v>
      </c>
    </row>
    <row r="102" spans="1:7" x14ac:dyDescent="0.35">
      <c r="A102" s="5" t="s">
        <v>36</v>
      </c>
      <c r="B102" s="37">
        <f>B8</f>
        <v>5</v>
      </c>
      <c r="D102" s="5">
        <f>B102</f>
        <v>5</v>
      </c>
      <c r="F102" s="5">
        <f>B102</f>
        <v>5</v>
      </c>
    </row>
    <row r="103" spans="1:7" x14ac:dyDescent="0.35">
      <c r="A103" s="5" t="s">
        <v>98</v>
      </c>
      <c r="B103" s="1">
        <v>6</v>
      </c>
      <c r="D103" s="1">
        <v>6</v>
      </c>
      <c r="F103" s="1">
        <v>3</v>
      </c>
    </row>
    <row r="104" spans="1:7" x14ac:dyDescent="0.35">
      <c r="A104" s="5" t="s">
        <v>99</v>
      </c>
      <c r="B104" s="1">
        <v>255</v>
      </c>
      <c r="D104" s="1">
        <v>315</v>
      </c>
      <c r="F104" s="1">
        <v>299</v>
      </c>
    </row>
    <row r="105" spans="1:7" x14ac:dyDescent="0.35">
      <c r="A105" s="5" t="s">
        <v>100</v>
      </c>
      <c r="B105" s="5">
        <f>(((B102*12)-1)+B103)*B104</f>
        <v>16575</v>
      </c>
      <c r="D105" s="5">
        <f>(((D102*12)-1)+D103)*D104</f>
        <v>20475</v>
      </c>
      <c r="F105" s="5">
        <f>(((F102*12)-1)+F103)*F104</f>
        <v>18538</v>
      </c>
    </row>
    <row r="106" spans="1:7" x14ac:dyDescent="0.35">
      <c r="A106" s="5" t="s">
        <v>93</v>
      </c>
      <c r="D106" s="5">
        <f>$B105-D105</f>
        <v>-3900</v>
      </c>
      <c r="F106" s="5">
        <f>$B105-F105</f>
        <v>-1963</v>
      </c>
    </row>
  </sheetData>
  <sheetProtection algorithmName="SHA-512" hashValue="lS72lA7YsKR4tlwHfyKy44YX7PoRrgc/yuBLS8KKwkvXoOVweNvzGisRYIPCYVpw0Tp0aJpj5vRlE7lHFUytdw==" saltValue="pEgxOiGCgs6k1DG0CDMxKA==" spinCount="100000" sheet="1" objects="1" scenarios="1"/>
  <mergeCells count="20">
    <mergeCell ref="Q2:R2"/>
    <mergeCell ref="AH2:AI2"/>
    <mergeCell ref="A3:G3"/>
    <mergeCell ref="A14:G14"/>
    <mergeCell ref="A99:G99"/>
    <mergeCell ref="A88:G88"/>
    <mergeCell ref="A78:G78"/>
    <mergeCell ref="A66:G66"/>
    <mergeCell ref="A35:G35"/>
    <mergeCell ref="A89:G89"/>
    <mergeCell ref="A4:G4"/>
    <mergeCell ref="A15:G15"/>
    <mergeCell ref="A36:G36"/>
    <mergeCell ref="A79:G79"/>
    <mergeCell ref="AJ2:AK2"/>
    <mergeCell ref="AL2:AM2"/>
    <mergeCell ref="S2:T2"/>
    <mergeCell ref="U2:V2"/>
    <mergeCell ref="W2:X2"/>
    <mergeCell ref="Y2:Z2"/>
  </mergeCells>
  <phoneticPr fontId="8" type="noConversion"/>
  <dataValidations count="4">
    <dataValidation type="list" allowBlank="1" showInputMessage="1" showErrorMessage="1" sqref="F20 B20 D20" xr:uid="{A97AC210-DE4C-4E60-96E5-49B404858DBB}">
      <formula1>$N$2:$N$6</formula1>
    </dataValidation>
    <dataValidation type="list" allowBlank="1" showInputMessage="1" showErrorMessage="1" sqref="B43 B39" xr:uid="{36D586DD-8372-41ED-8337-B9162A689C83}">
      <formula1>$O$2:$O$3</formula1>
    </dataValidation>
    <dataValidation type="list" allowBlank="1" showInputMessage="1" showErrorMessage="1" sqref="B56" xr:uid="{24021758-BE5E-4ADC-B99C-FF51B38EB82B}">
      <formula1>$AO$2:$AO$8</formula1>
    </dataValidation>
    <dataValidation type="list" allowBlank="1" showInputMessage="1" showErrorMessage="1" sqref="B94" xr:uid="{836E5902-1B2E-48A3-862E-586EB4A2FEEA}">
      <formula1>$BG$2:$BG$5</formula1>
    </dataValidation>
  </dataValidations>
  <pageMargins left="0.7" right="0.7" top="0.75" bottom="0.75" header="0.3" footer="0.3"/>
  <pageSetup paperSize="1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D8D3D-A1F5-4AF8-8A72-308AEBA6CBD9}">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F7B3DB6C9F384E9762EF0ECE970749" ma:contentTypeVersion="20" ma:contentTypeDescription="Create a new document." ma:contentTypeScope="" ma:versionID="4d90d5cf7debe429f9b85d697e60e7a7">
  <xsd:schema xmlns:xsd="http://www.w3.org/2001/XMLSchema" xmlns:xs="http://www.w3.org/2001/XMLSchema" xmlns:p="http://schemas.microsoft.com/office/2006/metadata/properties" xmlns:ns2="e992bf25-c9a0-4295-bb6f-02c1c147325a" xmlns:ns3="4ea83eac-bdd3-4ee1-8aef-a781d953f086" targetNamespace="http://schemas.microsoft.com/office/2006/metadata/properties" ma:root="true" ma:fieldsID="330f71a721d62fe5e211554f0e02f15f" ns2:_="" ns3:_="">
    <xsd:import namespace="e992bf25-c9a0-4295-bb6f-02c1c147325a"/>
    <xsd:import namespace="4ea83eac-bdd3-4ee1-8aef-a781d953f08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92bf25-c9a0-4295-bb6f-02c1c147325a"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OCR" ma:index="8" nillable="true" ma:displayName="Extracted Text" ma:internalName="MediaServiceOCR" ma:readOnly="true">
      <xsd:simpleType>
        <xsd:restriction base="dms:Note">
          <xsd:maxLength value="255"/>
        </xsd:restriction>
      </xsd:simpleType>
    </xsd:element>
    <xsd:element name="MediaServiceGenerationTime" ma:index="9" nillable="true" ma:displayName="MediaServiceGenerationTime" ma:hidden="true" ma:internalName="MediaServiceGenerationTime" ma:readOnly="true">
      <xsd:simpleType>
        <xsd:restriction base="dms:Text"/>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fa14d781-0189-441e-87ef-c208f41383c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ea83eac-bdd3-4ee1-8aef-a781d953f086" elementFormDefault="qualified">
    <xsd:import namespace="http://schemas.microsoft.com/office/2006/documentManagement/types"/>
    <xsd:import namespace="http://schemas.microsoft.com/office/infopath/2007/PartnerControls"/>
    <xsd:element name="SharedWithUsers" ma:index="6"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cf945b68-867e-4b66-ab95-427612f09f3b}" ma:internalName="TaxCatchAll" ma:showField="CatchAllData" ma:web="4ea83eac-bdd3-4ee1-8aef-a781d953f0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4ea83eac-bdd3-4ee1-8aef-a781d953f086">
      <UserInfo>
        <DisplayName>Graymatter VWFS Visitors</DisplayName>
        <AccountId>4</AccountId>
        <AccountType/>
      </UserInfo>
    </SharedWithUsers>
    <TaxCatchAll xmlns="4ea83eac-bdd3-4ee1-8aef-a781d953f086" xsi:nil="true"/>
    <lcf76f155ced4ddcb4097134ff3c332f xmlns="e992bf25-c9a0-4295-bb6f-02c1c147325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EBD792-5F35-4521-A14F-0EA8C02968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92bf25-c9a0-4295-bb6f-02c1c147325a"/>
    <ds:schemaRef ds:uri="4ea83eac-bdd3-4ee1-8aef-a781d953f0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591374-4D53-49B3-B2E1-FDBACA643CAC}">
  <ds:schemaRefs>
    <ds:schemaRef ds:uri="http://schemas.openxmlformats.org/package/2006/metadata/core-properties"/>
    <ds:schemaRef ds:uri="e992bf25-c9a0-4295-bb6f-02c1c147325a"/>
    <ds:schemaRef ds:uri="http://schemas.microsoft.com/office/2006/documentManagement/types"/>
    <ds:schemaRef ds:uri="http://purl.org/dc/terms/"/>
    <ds:schemaRef ds:uri="http://purl.org/dc/dcmitype/"/>
    <ds:schemaRef ds:uri="http://purl.org/dc/elements/1.1/"/>
    <ds:schemaRef ds:uri="4ea83eac-bdd3-4ee1-8aef-a781d953f086"/>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32F9775-BE4B-48AA-AAAC-CDDB56C75A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Kelly</dc:creator>
  <cp:keywords/>
  <dc:description/>
  <cp:lastModifiedBy>William Langdon</cp:lastModifiedBy>
  <cp:revision/>
  <dcterms:created xsi:type="dcterms:W3CDTF">2019-04-05T10:19:50Z</dcterms:created>
  <dcterms:modified xsi:type="dcterms:W3CDTF">2023-04-11T13:29:24Z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0x010100F5F7B3DB6C9F384E9762EF0ECE970749</vt:lpwstr>
  </property>
  <property fmtid="{D5CDD505-2E9C-101B-9397-08002B2CF9AE}" pid="3" name="_dlc_DocIdItemGuid">
    <vt:lpwstr>84e73ad1-8983-42bb-a34b-2212d745d997</vt:lpwstr>
  </property>
  <property fmtid="{D5CDD505-2E9C-101B-9397-08002B2CF9AE}" pid="4" name="AuthorIds_UIVersion_29">
    <vt:lpwstr>28</vt:lpwstr>
  </property>
  <property fmtid="{D5CDD505-2E9C-101B-9397-08002B2CF9AE}" pid="5" name="AuthorIds_UIVersion_2">
    <vt:lpwstr>28</vt:lpwstr>
  </property>
  <property fmtid="{D5CDD505-2E9C-101B-9397-08002B2CF9AE}" pid="6" name="Order">
    <vt:r8>13892400</vt:r8>
  </property>
  <property fmtid="{D5CDD505-2E9C-101B-9397-08002B2CF9AE}" pid="7" name="xd_Signature">
    <vt:bool>false</vt:bool>
  </property>
  <property fmtid="{D5CDD505-2E9C-101B-9397-08002B2CF9AE}" pid="8" name="xd_ProgID">
    <vt:lpwstr/>
  </property>
  <property fmtid="{D5CDD505-2E9C-101B-9397-08002B2CF9AE}" pid="9" name="_dlc_DocId">
    <vt:lpwstr>53ANYAT6F7X3-196448689-147952</vt:lpwstr>
  </property>
  <property fmtid="{D5CDD505-2E9C-101B-9397-08002B2CF9AE}" pid="10" name="_dlc_DocIdUrl">
    <vt:lpwstr>https://graymatterltd.sharepoint.com/sites/Share/_layouts/15/DocIdRedir.aspx?ID=53ANYAT6F7X3-196448689-147952, 53ANYAT6F7X3-196448689-147952</vt:lpwstr>
  </property>
  <property fmtid="{D5CDD505-2E9C-101B-9397-08002B2CF9AE}" pid="11" name="ComplianceAssetId">
    <vt:lpwstr/>
  </property>
  <property fmtid="{D5CDD505-2E9C-101B-9397-08002B2CF9AE}" pid="12" name="TemplateUrl">
    <vt:lpwstr/>
  </property>
  <property fmtid="{D5CDD505-2E9C-101B-9397-08002B2CF9AE}" pid="13" name="_ExtendedDescription">
    <vt:lpwstr/>
  </property>
  <property fmtid="{D5CDD505-2E9C-101B-9397-08002B2CF9AE}" pid="14" name="TriggerFlowInfo">
    <vt:lpwstr/>
  </property>
  <property fmtid="{D5CDD505-2E9C-101B-9397-08002B2CF9AE}" pid="15" name="MediaServiceImageTags">
    <vt:lpwstr/>
  </property>
</Properties>
</file>